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hidePivotFieldList="1" defaultThemeVersion="124226"/>
  <xr:revisionPtr revIDLastSave="0" documentId="13_ncr:1_{BD730210-011D-49FB-99EA-925A7B513EE2}" xr6:coauthVersionLast="47" xr6:coauthVersionMax="47" xr10:uidLastSave="{00000000-0000-0000-0000-000000000000}"/>
  <bookViews>
    <workbookView xWindow="28702" yWindow="-98" windowWidth="28995" windowHeight="15796" tabRatio="616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#REF!</definedName>
    <definedName name="Cuotas2" localSheetId="7">#REF!</definedName>
    <definedName name="Cuotas2">#REF!</definedName>
    <definedName name="EURO">#REF!</definedName>
    <definedName name="gg" localSheetId="3">#REF!</definedName>
    <definedName name="gg" localSheetId="7">#REF!</definedName>
    <definedName name="gg">#REF!</definedName>
    <definedName name="tt" localSheetId="3">#REF!</definedName>
    <definedName name="tt" localSheetId="7">#REF!</definedName>
    <definedName name="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" i="64" l="1"/>
  <c r="C80" i="64"/>
  <c r="F72" i="59"/>
  <c r="E72" i="59"/>
  <c r="I61" i="59"/>
  <c r="D61" i="59"/>
  <c r="D50" i="59"/>
  <c r="G50" i="59"/>
  <c r="H46" i="59" s="1"/>
  <c r="C50" i="59"/>
  <c r="F39" i="59"/>
  <c r="B39" i="59"/>
  <c r="F28" i="59"/>
  <c r="B28" i="59"/>
  <c r="E28" i="59"/>
  <c r="I17" i="59"/>
  <c r="C72" i="58"/>
  <c r="E17" i="58" l="1"/>
  <c r="J23" i="58"/>
  <c r="C39" i="58"/>
  <c r="J35" i="58" s="1"/>
  <c r="G39" i="58"/>
  <c r="H36" i="58" s="1"/>
  <c r="I39" i="58"/>
  <c r="I50" i="58"/>
  <c r="E61" i="58"/>
  <c r="J67" i="58"/>
  <c r="F17" i="58"/>
  <c r="G17" i="58"/>
  <c r="H13" i="58" s="1"/>
  <c r="G28" i="58"/>
  <c r="H25" i="58" s="1"/>
  <c r="E39" i="58"/>
  <c r="E50" i="58"/>
  <c r="B61" i="58"/>
  <c r="C61" i="58"/>
  <c r="G72" i="58"/>
  <c r="H68" i="58" s="1"/>
  <c r="D17" i="59"/>
  <c r="D28" i="58"/>
  <c r="J25" i="58" s="1"/>
  <c r="I28" i="58"/>
  <c r="B50" i="58"/>
  <c r="F50" i="58"/>
  <c r="D72" i="58"/>
  <c r="J69" i="58" s="1"/>
  <c r="I72" i="58"/>
  <c r="E17" i="59"/>
  <c r="J15" i="59" s="1"/>
  <c r="J23" i="59"/>
  <c r="C39" i="59"/>
  <c r="G39" i="59"/>
  <c r="H34" i="59" s="1"/>
  <c r="I39" i="59"/>
  <c r="I50" i="59"/>
  <c r="E61" i="59"/>
  <c r="J59" i="59" s="1"/>
  <c r="J67" i="59"/>
  <c r="J37" i="58"/>
  <c r="B17" i="58"/>
  <c r="C17" i="58"/>
  <c r="J13" i="58" s="1"/>
  <c r="C28" i="58"/>
  <c r="D39" i="58"/>
  <c r="J36" i="58" s="1"/>
  <c r="F61" i="58"/>
  <c r="G61" i="58"/>
  <c r="H59" i="58" s="1"/>
  <c r="D17" i="58"/>
  <c r="J14" i="58" s="1"/>
  <c r="I17" i="58"/>
  <c r="H15" i="58"/>
  <c r="E28" i="58"/>
  <c r="J26" i="58" s="1"/>
  <c r="J24" i="58"/>
  <c r="F28" i="58"/>
  <c r="B39" i="58"/>
  <c r="F39" i="58"/>
  <c r="J38" i="58" s="1"/>
  <c r="C50" i="58"/>
  <c r="G50" i="58"/>
  <c r="H46" i="58" s="1"/>
  <c r="D50" i="58"/>
  <c r="J47" i="58" s="1"/>
  <c r="J48" i="58"/>
  <c r="D61" i="58"/>
  <c r="I61" i="58"/>
  <c r="E72" i="58"/>
  <c r="J70" i="58" s="1"/>
  <c r="J68" i="58"/>
  <c r="F72" i="58"/>
  <c r="B17" i="59"/>
  <c r="F17" i="59"/>
  <c r="J16" i="59" s="1"/>
  <c r="C17" i="59"/>
  <c r="J13" i="59" s="1"/>
  <c r="C28" i="59"/>
  <c r="G28" i="59"/>
  <c r="H26" i="59" s="1"/>
  <c r="J26" i="59"/>
  <c r="D39" i="59"/>
  <c r="J36" i="59" s="1"/>
  <c r="E39" i="59"/>
  <c r="H37" i="59"/>
  <c r="E50" i="59"/>
  <c r="J48" i="59" s="1"/>
  <c r="J46" i="59"/>
  <c r="H47" i="59"/>
  <c r="B61" i="59"/>
  <c r="F61" i="59"/>
  <c r="J60" i="59" s="1"/>
  <c r="C61" i="59"/>
  <c r="J57" i="59" s="1"/>
  <c r="C72" i="59"/>
  <c r="J70" i="59"/>
  <c r="J57" i="58"/>
  <c r="H58" i="58"/>
  <c r="D28" i="59"/>
  <c r="I28" i="59"/>
  <c r="J35" i="59"/>
  <c r="B50" i="59"/>
  <c r="F50" i="59"/>
  <c r="D72" i="59"/>
  <c r="J69" i="59" s="1"/>
  <c r="I72" i="59"/>
  <c r="J14" i="59"/>
  <c r="H25" i="59"/>
  <c r="J38" i="59"/>
  <c r="H49" i="59"/>
  <c r="J58" i="59"/>
  <c r="J68" i="59"/>
  <c r="J27" i="59"/>
  <c r="H35" i="59"/>
  <c r="H36" i="59"/>
  <c r="J37" i="59"/>
  <c r="J47" i="59"/>
  <c r="H48" i="59"/>
  <c r="J71" i="59"/>
  <c r="H67" i="59"/>
  <c r="J25" i="59"/>
  <c r="J49" i="59"/>
  <c r="G17" i="59"/>
  <c r="H13" i="59" s="1"/>
  <c r="J24" i="59"/>
  <c r="G61" i="59"/>
  <c r="B72" i="59"/>
  <c r="J45" i="59"/>
  <c r="G72" i="59"/>
  <c r="H68" i="59" s="1"/>
  <c r="J12" i="59"/>
  <c r="J56" i="59"/>
  <c r="J34" i="59"/>
  <c r="H45" i="59"/>
  <c r="H50" i="59" s="1"/>
  <c r="J58" i="58"/>
  <c r="H48" i="58"/>
  <c r="H12" i="58"/>
  <c r="J16" i="58"/>
  <c r="H24" i="58"/>
  <c r="H26" i="58"/>
  <c r="H37" i="58"/>
  <c r="J46" i="58"/>
  <c r="J60" i="58"/>
  <c r="H69" i="58"/>
  <c r="H71" i="58"/>
  <c r="J27" i="58"/>
  <c r="J71" i="58"/>
  <c r="J15" i="58"/>
  <c r="J49" i="58"/>
  <c r="J59" i="58"/>
  <c r="J34" i="58"/>
  <c r="J45" i="58"/>
  <c r="H57" i="58"/>
  <c r="B28" i="58"/>
  <c r="B72" i="58"/>
  <c r="J12" i="58"/>
  <c r="J56" i="58"/>
  <c r="H45" i="58"/>
  <c r="H38" i="58" l="1"/>
  <c r="H23" i="58"/>
  <c r="H70" i="58"/>
  <c r="H47" i="58"/>
  <c r="H50" i="58" s="1"/>
  <c r="H27" i="58"/>
  <c r="H27" i="59"/>
  <c r="H38" i="59"/>
  <c r="H34" i="58"/>
  <c r="H67" i="58"/>
  <c r="H49" i="58"/>
  <c r="H23" i="59"/>
  <c r="H28" i="59" s="1"/>
  <c r="H24" i="59"/>
  <c r="H35" i="58"/>
  <c r="H39" i="58" s="1"/>
  <c r="H60" i="58"/>
  <c r="H16" i="58"/>
  <c r="H15" i="59"/>
  <c r="H28" i="58"/>
  <c r="H56" i="58"/>
  <c r="H61" i="58" s="1"/>
  <c r="H14" i="58"/>
  <c r="H69" i="59"/>
  <c r="H70" i="59"/>
  <c r="H60" i="59"/>
  <c r="H56" i="59"/>
  <c r="H58" i="59"/>
  <c r="H59" i="59"/>
  <c r="H39" i="59"/>
  <c r="H16" i="59"/>
  <c r="H12" i="59"/>
  <c r="H57" i="59"/>
  <c r="H71" i="59"/>
  <c r="H14" i="59"/>
  <c r="H72" i="58"/>
  <c r="H17" i="58"/>
  <c r="H72" i="59" l="1"/>
  <c r="H61" i="59"/>
  <c r="H17" i="59"/>
  <c r="F88" i="1" l="1"/>
  <c r="N33" i="66" l="1"/>
  <c r="M33" i="66"/>
  <c r="L33" i="66"/>
  <c r="G33" i="66"/>
  <c r="F33" i="66"/>
  <c r="E33" i="66"/>
  <c r="D33" i="66"/>
  <c r="C108" i="1" l="1"/>
  <c r="F122" i="1"/>
  <c r="C115" i="1" l="1"/>
  <c r="E122" i="1"/>
  <c r="D122" i="1"/>
  <c r="G122" i="1"/>
  <c r="D83" i="1" l="1"/>
  <c r="F83" i="1"/>
  <c r="B83" i="1"/>
  <c r="E83" i="1"/>
  <c r="C83" i="1"/>
  <c r="C129" i="1" l="1"/>
  <c r="G129" i="1"/>
  <c r="D129" i="1"/>
  <c r="H129" i="1"/>
  <c r="E129" i="1"/>
  <c r="F129" i="1"/>
  <c r="I19" i="61"/>
  <c r="I15" i="61"/>
  <c r="D15" i="61"/>
  <c r="I20" i="61" l="1"/>
  <c r="I26" i="66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B46" i="71" l="1"/>
  <c r="B45" i="71"/>
  <c r="B44" i="71" l="1"/>
  <c r="D108" i="1"/>
  <c r="G108" i="1"/>
  <c r="I107" i="1"/>
  <c r="H108" i="1"/>
  <c r="E108" i="1"/>
  <c r="F108" i="1"/>
  <c r="F15" i="61" l="1"/>
  <c r="B11" i="71"/>
  <c r="G19" i="61"/>
  <c r="D15" i="60"/>
  <c r="H15" i="60"/>
  <c r="F19" i="61"/>
  <c r="G15" i="61"/>
  <c r="H12" i="61"/>
  <c r="D19" i="60"/>
  <c r="H15" i="61"/>
  <c r="F15" i="60"/>
  <c r="E15" i="60"/>
  <c r="I15" i="60"/>
  <c r="F11" i="71"/>
  <c r="G11" i="71"/>
  <c r="C11" i="71"/>
  <c r="E11" i="71"/>
  <c r="D11" i="71"/>
  <c r="I108" i="1"/>
  <c r="D20" i="60" l="1"/>
  <c r="I20" i="60"/>
  <c r="H20" i="60"/>
  <c r="F20" i="61"/>
  <c r="E20" i="60"/>
  <c r="F20" i="60"/>
  <c r="G20" i="61"/>
  <c r="E15" i="61"/>
  <c r="H16" i="6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H85" i="62" l="1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E11" i="61" l="1"/>
  <c r="D20" i="61"/>
  <c r="E10" i="61"/>
  <c r="D10" i="61"/>
  <c r="I12" i="60"/>
  <c r="I11" i="60"/>
  <c r="H10" i="61"/>
  <c r="I10" i="61"/>
  <c r="H10" i="60"/>
  <c r="F10" i="60"/>
  <c r="G10" i="60"/>
  <c r="D19" i="61"/>
  <c r="D12" i="61"/>
  <c r="E19" i="61"/>
  <c r="E12" i="61"/>
  <c r="H11" i="61"/>
  <c r="I10" i="60"/>
  <c r="I11" i="61"/>
  <c r="F10" i="61"/>
  <c r="I12" i="61"/>
  <c r="H19" i="61"/>
  <c r="F11" i="61"/>
  <c r="D11" i="61"/>
  <c r="E10" i="60"/>
  <c r="H12" i="60"/>
  <c r="H19" i="60"/>
  <c r="G12" i="60"/>
  <c r="H11" i="60"/>
  <c r="I19" i="60"/>
  <c r="F11" i="60"/>
  <c r="G11" i="60"/>
  <c r="G15" i="60"/>
  <c r="F19" i="60"/>
  <c r="G19" i="60"/>
  <c r="F12" i="60"/>
  <c r="D10" i="60"/>
  <c r="D11" i="60"/>
  <c r="E19" i="60"/>
  <c r="E12" i="60"/>
  <c r="E11" i="60"/>
  <c r="D12" i="60"/>
  <c r="I14" i="60" l="1"/>
  <c r="E14" i="60"/>
  <c r="G20" i="60"/>
  <c r="H14" i="60"/>
  <c r="F14" i="60"/>
  <c r="D14" i="60"/>
  <c r="G14" i="60"/>
  <c r="I16" i="61"/>
  <c r="I16" i="60"/>
  <c r="D16" i="61"/>
  <c r="H14" i="61"/>
  <c r="E16" i="61"/>
  <c r="F16" i="60"/>
  <c r="H13" i="61"/>
  <c r="E13" i="61"/>
  <c r="G16" i="60"/>
  <c r="D16" i="60"/>
  <c r="E16" i="60"/>
  <c r="H16" i="60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D13" i="61"/>
  <c r="E13" i="60"/>
  <c r="I13" i="61"/>
  <c r="E87" i="62"/>
  <c r="I13" i="60"/>
  <c r="H86" i="62"/>
  <c r="F13" i="60"/>
  <c r="E86" i="62"/>
  <c r="G13" i="60"/>
  <c r="G91" i="62"/>
  <c r="H91" i="62"/>
  <c r="G87" i="62"/>
  <c r="H13" i="60"/>
  <c r="G86" i="62"/>
  <c r="H71" i="62"/>
  <c r="G67" i="62"/>
  <c r="E20" i="61"/>
  <c r="D71" i="62"/>
  <c r="H20" i="61"/>
  <c r="G71" i="62"/>
  <c r="D14" i="61"/>
  <c r="C67" i="62"/>
  <c r="I14" i="61"/>
  <c r="H67" i="62"/>
  <c r="C91" i="62"/>
  <c r="C86" i="62"/>
  <c r="C88" i="62"/>
  <c r="C95" i="62"/>
  <c r="C87" i="62"/>
  <c r="F13" i="61"/>
  <c r="F14" i="61"/>
  <c r="D13" i="60"/>
  <c r="I18" i="61" l="1"/>
  <c r="H21" i="60"/>
  <c r="H18" i="61"/>
  <c r="E17" i="60"/>
  <c r="E21" i="60"/>
  <c r="F18" i="60"/>
  <c r="H17" i="60"/>
  <c r="G17" i="60"/>
  <c r="I17" i="60"/>
  <c r="D21" i="60"/>
  <c r="F21" i="60"/>
  <c r="I21" i="60"/>
  <c r="F17" i="60"/>
  <c r="I17" i="61"/>
  <c r="G18" i="60"/>
  <c r="I18" i="60"/>
  <c r="D18" i="61"/>
  <c r="D17" i="60"/>
  <c r="E18" i="61"/>
  <c r="G21" i="60"/>
  <c r="I21" i="61"/>
  <c r="D18" i="60"/>
  <c r="H18" i="60"/>
  <c r="E18" i="60"/>
  <c r="H17" i="61"/>
  <c r="F17" i="61"/>
  <c r="F16" i="61"/>
  <c r="F18" i="6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C70" i="62"/>
  <c r="E21" i="61"/>
  <c r="D72" i="62"/>
  <c r="F92" i="62"/>
  <c r="C92" i="62"/>
  <c r="D92" i="62"/>
  <c r="C89" i="62"/>
  <c r="H92" i="62"/>
  <c r="C90" i="62"/>
  <c r="E92" i="62"/>
  <c r="C96" i="62"/>
  <c r="G92" i="62"/>
  <c r="G10" i="61"/>
  <c r="G12" i="61"/>
  <c r="G11" i="61"/>
  <c r="E23" i="61" l="1"/>
  <c r="H23" i="61"/>
  <c r="I23" i="61"/>
  <c r="F23" i="61"/>
  <c r="H23" i="60"/>
  <c r="D23" i="61"/>
  <c r="I22" i="60"/>
  <c r="H22" i="60"/>
  <c r="E23" i="60"/>
  <c r="D23" i="60"/>
  <c r="D22" i="60"/>
  <c r="I23" i="60"/>
  <c r="I22" i="61"/>
  <c r="G22" i="60"/>
  <c r="F23" i="60"/>
  <c r="E22" i="60"/>
  <c r="G23" i="60"/>
  <c r="F22" i="60"/>
  <c r="G16" i="61"/>
  <c r="D22" i="6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F22" i="61"/>
  <c r="C78" i="62" l="1"/>
  <c r="G18" i="61"/>
  <c r="F72" i="62"/>
  <c r="G17" i="6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G22" i="61" l="1"/>
  <c r="G23" i="61"/>
  <c r="F74" i="62"/>
  <c r="F77" i="62"/>
  <c r="F73" i="62"/>
  <c r="B50" i="62"/>
  <c r="E79" i="62"/>
  <c r="E76" i="62"/>
  <c r="E77" i="62"/>
  <c r="F78" i="62" l="1"/>
  <c r="F79" i="62"/>
  <c r="E11" i="62"/>
  <c r="H11" i="62"/>
  <c r="G11" i="62"/>
  <c r="F11" i="62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65" i="1" l="1"/>
  <c r="D65" i="1" s="1"/>
  <c r="C64" i="1"/>
  <c r="D64" i="1" s="1"/>
  <c r="C63" i="1"/>
  <c r="D63" i="1" s="1"/>
  <c r="C62" i="1"/>
  <c r="D62" i="1" s="1"/>
  <c r="C61" i="1"/>
  <c r="D61" i="1" s="1"/>
  <c r="B53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57" i="62" l="1"/>
  <c r="C57" i="62"/>
  <c r="E57" i="62"/>
  <c r="D57" i="62"/>
  <c r="B57" i="62"/>
  <c r="F99" i="1"/>
  <c r="B99" i="1"/>
  <c r="E99" i="1"/>
  <c r="D99" i="1"/>
  <c r="C99" i="1"/>
  <c r="F25" i="64" l="1"/>
  <c r="C25" i="64"/>
  <c r="D25" i="64"/>
  <c r="E25" i="64"/>
  <c r="G25" i="64"/>
  <c r="C24" i="64" l="1"/>
  <c r="C24" i="65"/>
  <c r="D24" i="65"/>
  <c r="D24" i="64"/>
  <c r="C24" i="67"/>
  <c r="J25" i="64"/>
  <c r="B24" i="67"/>
  <c r="I25" i="64"/>
  <c r="G24" i="65"/>
  <c r="G24" i="64"/>
  <c r="L25" i="64"/>
  <c r="E24" i="67"/>
  <c r="E24" i="64"/>
  <c r="E24" i="65"/>
  <c r="B25" i="64"/>
  <c r="M25" i="64" l="1"/>
  <c r="F24" i="67"/>
  <c r="I113" i="1"/>
  <c r="G24" i="67"/>
  <c r="N25" i="64"/>
  <c r="F24" i="64"/>
  <c r="F24" i="65"/>
  <c r="B24" i="64"/>
  <c r="B24" i="65"/>
  <c r="D24" i="67"/>
  <c r="K25" i="64"/>
  <c r="J105" i="66" l="1"/>
  <c r="B21" i="65"/>
  <c r="B21" i="64"/>
  <c r="E21" i="64"/>
  <c r="G21" i="65"/>
  <c r="C21" i="65"/>
  <c r="C21" i="64"/>
  <c r="F21" i="64"/>
  <c r="D21" i="64"/>
  <c r="F21" i="65" l="1"/>
  <c r="G21" i="64"/>
  <c r="D21" i="65"/>
  <c r="E21" i="65"/>
  <c r="L24" i="64" l="1"/>
  <c r="L24" i="65"/>
  <c r="E23" i="67"/>
  <c r="M24" i="64"/>
  <c r="F23" i="67"/>
  <c r="M24" i="65"/>
  <c r="J24" i="65"/>
  <c r="J24" i="64"/>
  <c r="C23" i="67"/>
  <c r="N24" i="65"/>
  <c r="G23" i="67"/>
  <c r="N24" i="64"/>
  <c r="K24" i="64"/>
  <c r="K24" i="65"/>
  <c r="D23" i="67"/>
  <c r="I112" i="1"/>
  <c r="I24" i="65"/>
  <c r="I24" i="64"/>
  <c r="B23" i="67"/>
  <c r="B20" i="67" l="1"/>
  <c r="C20" i="67"/>
  <c r="D20" i="67"/>
  <c r="J21" i="65" l="1"/>
  <c r="J21" i="64"/>
  <c r="I21" i="65"/>
  <c r="I21" i="64"/>
  <c r="K21" i="65"/>
  <c r="K21" i="64"/>
  <c r="E20" i="67"/>
  <c r="G20" i="67"/>
  <c r="F20" i="67"/>
  <c r="N21" i="65" l="1"/>
  <c r="N21" i="64"/>
  <c r="M21" i="65"/>
  <c r="M21" i="64"/>
  <c r="L21" i="64"/>
  <c r="L21" i="65"/>
  <c r="I109" i="1"/>
  <c r="C23" i="64" l="1"/>
  <c r="C23" i="65"/>
  <c r="G23" i="65"/>
  <c r="G23" i="64"/>
  <c r="B23" i="65"/>
  <c r="B23" i="64"/>
  <c r="D23" i="65" l="1"/>
  <c r="D23" i="64"/>
  <c r="G22" i="67" l="1"/>
  <c r="N23" i="65"/>
  <c r="N23" i="64"/>
  <c r="E23" i="64"/>
  <c r="E23" i="65"/>
  <c r="D22" i="67"/>
  <c r="K23" i="65"/>
  <c r="K23" i="64"/>
  <c r="L23" i="64"/>
  <c r="E22" i="67"/>
  <c r="L23" i="65"/>
  <c r="F22" i="67"/>
  <c r="M23" i="65"/>
  <c r="M23" i="64"/>
  <c r="I23" i="64"/>
  <c r="I23" i="65"/>
  <c r="I111" i="1"/>
  <c r="B22" i="67"/>
  <c r="J23" i="65"/>
  <c r="J23" i="64"/>
  <c r="C22" i="67"/>
  <c r="F23" i="65" l="1"/>
  <c r="F23" i="64"/>
  <c r="C22" i="65" l="1"/>
  <c r="C22" i="64"/>
  <c r="G22" i="64"/>
  <c r="G22" i="65"/>
  <c r="B22" i="65"/>
  <c r="B22" i="64"/>
  <c r="I22" i="65" l="1"/>
  <c r="B21" i="67"/>
  <c r="I22" i="64"/>
  <c r="E115" i="1"/>
  <c r="D22" i="65"/>
  <c r="D22" i="64"/>
  <c r="C21" i="67" l="1"/>
  <c r="J22" i="64"/>
  <c r="J22" i="65"/>
  <c r="D115" i="1"/>
  <c r="E22" i="64"/>
  <c r="E22" i="65"/>
  <c r="D21" i="67"/>
  <c r="K22" i="65"/>
  <c r="K22" i="64"/>
  <c r="N22" i="64"/>
  <c r="N22" i="65"/>
  <c r="G21" i="67"/>
  <c r="H115" i="1"/>
  <c r="L22" i="64"/>
  <c r="L22" i="65"/>
  <c r="E21" i="67"/>
  <c r="F115" i="1"/>
  <c r="I26" i="64"/>
  <c r="M22" i="64"/>
  <c r="M22" i="65"/>
  <c r="F21" i="67"/>
  <c r="G115" i="1"/>
  <c r="I110" i="1"/>
  <c r="I115" i="1" l="1"/>
  <c r="M26" i="64"/>
  <c r="L26" i="64"/>
  <c r="F22" i="64"/>
  <c r="F22" i="65"/>
  <c r="K26" i="64"/>
  <c r="J26" i="64"/>
  <c r="N26" i="64"/>
  <c r="C36" i="1" l="1"/>
  <c r="C19" i="1" l="1"/>
  <c r="C32" i="1" l="1"/>
  <c r="F10" i="62" l="1"/>
  <c r="G10" i="62"/>
  <c r="E10" i="62"/>
  <c r="H10" i="62"/>
  <c r="G23" i="62" l="1"/>
  <c r="G20" i="62"/>
  <c r="F20" i="62"/>
  <c r="F23" i="62"/>
  <c r="E23" i="62"/>
  <c r="E20" i="62"/>
  <c r="H23" i="62"/>
  <c r="H20" i="62"/>
  <c r="K55" i="62" l="1"/>
  <c r="K53" i="62"/>
  <c r="K54" i="62"/>
  <c r="K51" i="62"/>
  <c r="K50" i="62"/>
  <c r="K52" i="62"/>
  <c r="J52" i="62"/>
  <c r="J50" i="62"/>
  <c r="J53" i="62"/>
  <c r="J54" i="62"/>
  <c r="J55" i="62"/>
  <c r="J51" i="62"/>
  <c r="H38" i="62"/>
  <c r="N65" i="62" s="1"/>
  <c r="H39" i="62"/>
  <c r="O65" i="62" s="1"/>
  <c r="H34" i="62"/>
  <c r="H36" i="62"/>
  <c r="L65" i="62" s="1"/>
  <c r="H37" i="62"/>
  <c r="M65" i="62" s="1"/>
  <c r="H35" i="62"/>
  <c r="K65" i="62" s="1"/>
  <c r="H51" i="62"/>
  <c r="K85" i="62" s="1"/>
  <c r="C12" i="67" s="1"/>
  <c r="H55" i="62"/>
  <c r="O85" i="62" s="1"/>
  <c r="G12" i="67" s="1"/>
  <c r="H50" i="62"/>
  <c r="H52" i="62"/>
  <c r="L85" i="62" s="1"/>
  <c r="H53" i="62"/>
  <c r="M85" i="62" s="1"/>
  <c r="E12" i="67" s="1"/>
  <c r="H54" i="62"/>
  <c r="N85" i="62" s="1"/>
  <c r="F12" i="67" s="1"/>
  <c r="J38" i="62"/>
  <c r="J34" i="62"/>
  <c r="J36" i="62"/>
  <c r="J39" i="62"/>
  <c r="J35" i="62"/>
  <c r="J37" i="62"/>
  <c r="K35" i="62"/>
  <c r="K37" i="62"/>
  <c r="K34" i="62"/>
  <c r="K39" i="62"/>
  <c r="K36" i="62"/>
  <c r="K38" i="62"/>
  <c r="I34" i="62"/>
  <c r="I37" i="62"/>
  <c r="I38" i="62"/>
  <c r="I35" i="62"/>
  <c r="I39" i="62"/>
  <c r="I36" i="62"/>
  <c r="I51" i="62"/>
  <c r="I50" i="62"/>
  <c r="I52" i="62"/>
  <c r="I53" i="62"/>
  <c r="I55" i="62"/>
  <c r="I54" i="62"/>
  <c r="M67" i="62" l="1"/>
  <c r="M66" i="62"/>
  <c r="L86" i="62"/>
  <c r="D13" i="67" s="1"/>
  <c r="L87" i="62"/>
  <c r="O67" i="62"/>
  <c r="O66" i="62"/>
  <c r="J67" i="62"/>
  <c r="J66" i="62"/>
  <c r="I41" i="62"/>
  <c r="J73" i="62"/>
  <c r="K41" i="62"/>
  <c r="J74" i="62"/>
  <c r="J72" i="62"/>
  <c r="J71" i="62"/>
  <c r="B16" i="65" s="1"/>
  <c r="B32" i="65" s="1"/>
  <c r="K70" i="62"/>
  <c r="K69" i="62"/>
  <c r="K68" i="62"/>
  <c r="N70" i="62"/>
  <c r="N69" i="62"/>
  <c r="N68" i="62"/>
  <c r="J85" i="62"/>
  <c r="B12" i="67" s="1"/>
  <c r="H57" i="62"/>
  <c r="M88" i="62"/>
  <c r="M89" i="62"/>
  <c r="M90" i="62"/>
  <c r="J92" i="62"/>
  <c r="J94" i="62"/>
  <c r="J93" i="62"/>
  <c r="J91" i="62"/>
  <c r="K57" i="62"/>
  <c r="O92" i="62"/>
  <c r="O93" i="62"/>
  <c r="O94" i="62"/>
  <c r="O91" i="62"/>
  <c r="L66" i="62"/>
  <c r="L67" i="62"/>
  <c r="N87" i="62"/>
  <c r="N86" i="62"/>
  <c r="F13" i="67" s="1"/>
  <c r="K66" i="62"/>
  <c r="K67" i="62"/>
  <c r="M73" i="62"/>
  <c r="M71" i="62"/>
  <c r="E16" i="65" s="1"/>
  <c r="E32" i="65" s="1"/>
  <c r="M72" i="62"/>
  <c r="M74" i="62"/>
  <c r="O69" i="62"/>
  <c r="O70" i="62"/>
  <c r="O68" i="62"/>
  <c r="F28" i="67"/>
  <c r="F37" i="67"/>
  <c r="G37" i="67"/>
  <c r="G28" i="67"/>
  <c r="K90" i="62"/>
  <c r="K89" i="62"/>
  <c r="K88" i="62"/>
  <c r="J89" i="62"/>
  <c r="J90" i="62"/>
  <c r="J88" i="62"/>
  <c r="J57" i="62"/>
  <c r="K93" i="62"/>
  <c r="K91" i="62"/>
  <c r="K92" i="62"/>
  <c r="K94" i="62"/>
  <c r="M68" i="62"/>
  <c r="M70" i="62"/>
  <c r="M69" i="62"/>
  <c r="J86" i="62"/>
  <c r="B13" i="67" s="1"/>
  <c r="J87" i="62"/>
  <c r="I57" i="62"/>
  <c r="N74" i="62"/>
  <c r="N73" i="62"/>
  <c r="N71" i="62"/>
  <c r="F16" i="65" s="1"/>
  <c r="N72" i="62"/>
  <c r="F15" i="65" s="1"/>
  <c r="O86" i="62"/>
  <c r="G13" i="67" s="1"/>
  <c r="O87" i="62"/>
  <c r="K86" i="62"/>
  <c r="C13" i="67" s="1"/>
  <c r="K87" i="62"/>
  <c r="N67" i="62"/>
  <c r="N66" i="62"/>
  <c r="L73" i="62"/>
  <c r="L74" i="62"/>
  <c r="L71" i="62"/>
  <c r="D16" i="65" s="1"/>
  <c r="D32" i="65" s="1"/>
  <c r="L72" i="62"/>
  <c r="K73" i="62"/>
  <c r="K74" i="62"/>
  <c r="K72" i="62"/>
  <c r="K71" i="62"/>
  <c r="C16" i="65" s="1"/>
  <c r="C32" i="65" s="1"/>
  <c r="L69" i="62"/>
  <c r="L68" i="62"/>
  <c r="L70" i="62"/>
  <c r="E37" i="67"/>
  <c r="E28" i="67"/>
  <c r="C28" i="67"/>
  <c r="C37" i="67"/>
  <c r="J65" i="62"/>
  <c r="H41" i="62"/>
  <c r="O88" i="62"/>
  <c r="O90" i="62"/>
  <c r="O89" i="62"/>
  <c r="L90" i="62"/>
  <c r="L88" i="62"/>
  <c r="L89" i="62"/>
  <c r="N91" i="62"/>
  <c r="N93" i="62"/>
  <c r="N92" i="62"/>
  <c r="N94" i="62"/>
  <c r="M86" i="62"/>
  <c r="E13" i="67" s="1"/>
  <c r="M87" i="62"/>
  <c r="O73" i="62"/>
  <c r="O74" i="62"/>
  <c r="O71" i="62"/>
  <c r="G16" i="65" s="1"/>
  <c r="G32" i="65" s="1"/>
  <c r="O72" i="62"/>
  <c r="J69" i="62"/>
  <c r="J68" i="62"/>
  <c r="J70" i="62"/>
  <c r="J41" i="62"/>
  <c r="D12" i="67"/>
  <c r="N88" i="62"/>
  <c r="N89" i="62"/>
  <c r="N90" i="62"/>
  <c r="L92" i="62"/>
  <c r="L94" i="62"/>
  <c r="L91" i="62"/>
  <c r="L93" i="62"/>
  <c r="M93" i="62"/>
  <c r="M94" i="62"/>
  <c r="M92" i="62"/>
  <c r="M91" i="62"/>
  <c r="F38" i="67" l="1"/>
  <c r="G29" i="67"/>
  <c r="G38" i="67"/>
  <c r="C15" i="65"/>
  <c r="C31" i="65" s="1"/>
  <c r="C82" i="65" s="1"/>
  <c r="E13" i="65"/>
  <c r="E29" i="65" s="1"/>
  <c r="E69" i="65" s="1"/>
  <c r="I13" i="65"/>
  <c r="I29" i="65" s="1"/>
  <c r="K13" i="65"/>
  <c r="K29" i="65" s="1"/>
  <c r="K80" i="65" s="1"/>
  <c r="G13" i="65"/>
  <c r="G29" i="65" s="1"/>
  <c r="G39" i="65" s="1"/>
  <c r="N13" i="65"/>
  <c r="N29" i="65" s="1"/>
  <c r="N39" i="65" s="1"/>
  <c r="G15" i="65"/>
  <c r="G31" i="65" s="1"/>
  <c r="G71" i="65" s="1"/>
  <c r="M14" i="65"/>
  <c r="M30" i="65" s="1"/>
  <c r="M81" i="65" s="1"/>
  <c r="C13" i="65"/>
  <c r="C29" i="65" s="1"/>
  <c r="C80" i="65" s="1"/>
  <c r="C14" i="65"/>
  <c r="C30" i="65" s="1"/>
  <c r="C70" i="65" s="1"/>
  <c r="K14" i="65"/>
  <c r="K30" i="65" s="1"/>
  <c r="K81" i="65" s="1"/>
  <c r="J14" i="65"/>
  <c r="J30" i="65" s="1"/>
  <c r="J81" i="65" s="1"/>
  <c r="E38" i="67"/>
  <c r="E29" i="67"/>
  <c r="F31" i="65"/>
  <c r="C15" i="67"/>
  <c r="J16" i="65"/>
  <c r="J32" i="65" s="1"/>
  <c r="J13" i="65"/>
  <c r="J29" i="65" s="1"/>
  <c r="L14" i="65"/>
  <c r="L30" i="65" s="1"/>
  <c r="B13" i="65"/>
  <c r="B29" i="65" s="1"/>
  <c r="B14" i="65"/>
  <c r="B30" i="65" s="1"/>
  <c r="M13" i="65"/>
  <c r="N15" i="65"/>
  <c r="N31" i="65" s="1"/>
  <c r="N82" i="65" s="1"/>
  <c r="G14" i="67"/>
  <c r="D14" i="65"/>
  <c r="D30" i="65" s="1"/>
  <c r="C38" i="67"/>
  <c r="C29" i="67"/>
  <c r="F83" i="65"/>
  <c r="F32" i="65"/>
  <c r="I14" i="65"/>
  <c r="I30" i="65" s="1"/>
  <c r="E15" i="65"/>
  <c r="E31" i="65" s="1"/>
  <c r="L15" i="65"/>
  <c r="L31" i="65" s="1"/>
  <c r="E14" i="67"/>
  <c r="D29" i="67"/>
  <c r="D38" i="67"/>
  <c r="G72" i="65"/>
  <c r="G42" i="65"/>
  <c r="L16" i="65"/>
  <c r="L32" i="65" s="1"/>
  <c r="E15" i="67"/>
  <c r="K15" i="65"/>
  <c r="K31" i="65" s="1"/>
  <c r="D14" i="67"/>
  <c r="D13" i="65"/>
  <c r="D29" i="65" s="1"/>
  <c r="D15" i="67"/>
  <c r="K16" i="65"/>
  <c r="K32" i="65" s="1"/>
  <c r="D37" i="67"/>
  <c r="D28" i="67"/>
  <c r="F14" i="67"/>
  <c r="M15" i="65"/>
  <c r="M16" i="65"/>
  <c r="F15" i="67"/>
  <c r="N14" i="65"/>
  <c r="N30" i="65" s="1"/>
  <c r="N81" i="65" s="1"/>
  <c r="C72" i="65"/>
  <c r="C83" i="65"/>
  <c r="C42" i="65"/>
  <c r="D15" i="65"/>
  <c r="D31" i="65" s="1"/>
  <c r="F14" i="65"/>
  <c r="B29" i="67"/>
  <c r="B38" i="67"/>
  <c r="C14" i="67"/>
  <c r="J15" i="65"/>
  <c r="J31" i="65" s="1"/>
  <c r="E83" i="65"/>
  <c r="E72" i="65"/>
  <c r="E42" i="65"/>
  <c r="F29" i="67"/>
  <c r="G15" i="67"/>
  <c r="N16" i="65"/>
  <c r="N32" i="65" s="1"/>
  <c r="N83" i="65" s="1"/>
  <c r="B83" i="65"/>
  <c r="B42" i="65"/>
  <c r="B72" i="65"/>
  <c r="G14" i="65"/>
  <c r="G30" i="65" s="1"/>
  <c r="E14" i="65"/>
  <c r="E30" i="65" s="1"/>
  <c r="D83" i="65"/>
  <c r="D72" i="65"/>
  <c r="D42" i="65"/>
  <c r="F13" i="65"/>
  <c r="B14" i="67"/>
  <c r="I15" i="65"/>
  <c r="I31" i="65" s="1"/>
  <c r="B15" i="67"/>
  <c r="I16" i="65"/>
  <c r="I32" i="65" s="1"/>
  <c r="L13" i="65"/>
  <c r="L29" i="65" s="1"/>
  <c r="B37" i="67"/>
  <c r="B28" i="67"/>
  <c r="B15" i="65"/>
  <c r="E39" i="67" l="1"/>
  <c r="F40" i="67"/>
  <c r="F39" i="67"/>
  <c r="E40" i="67"/>
  <c r="C71" i="65"/>
  <c r="G31" i="67"/>
  <c r="G40" i="67"/>
  <c r="G30" i="67"/>
  <c r="G39" i="67"/>
  <c r="K79" i="65"/>
  <c r="D16" i="71" s="1"/>
  <c r="D21" i="71" s="1"/>
  <c r="D40" i="71" s="1"/>
  <c r="E39" i="65"/>
  <c r="E80" i="65"/>
  <c r="G69" i="65"/>
  <c r="K39" i="65"/>
  <c r="N69" i="65"/>
  <c r="G41" i="65"/>
  <c r="E25" i="66"/>
  <c r="C25" i="66"/>
  <c r="D25" i="66"/>
  <c r="N80" i="65"/>
  <c r="N79" i="65"/>
  <c r="C41" i="65"/>
  <c r="F82" i="65"/>
  <c r="C69" i="65"/>
  <c r="C81" i="65"/>
  <c r="C39" i="65"/>
  <c r="J40" i="65"/>
  <c r="J70" i="65"/>
  <c r="L69" i="65"/>
  <c r="L79" i="65"/>
  <c r="E16" i="71" s="1"/>
  <c r="E21" i="71" s="1"/>
  <c r="L80" i="65"/>
  <c r="L39" i="65"/>
  <c r="F29" i="65"/>
  <c r="F80" i="65"/>
  <c r="G70" i="65"/>
  <c r="G40" i="65"/>
  <c r="N72" i="65"/>
  <c r="N42" i="65"/>
  <c r="C39" i="67"/>
  <c r="C30" i="67"/>
  <c r="D71" i="65"/>
  <c r="D82" i="65"/>
  <c r="D41" i="65"/>
  <c r="N70" i="65"/>
  <c r="N40" i="65"/>
  <c r="F30" i="67"/>
  <c r="K83" i="65"/>
  <c r="K42" i="65"/>
  <c r="K72" i="65"/>
  <c r="K71" i="65"/>
  <c r="K82" i="65"/>
  <c r="K41" i="65"/>
  <c r="K69" i="65"/>
  <c r="I70" i="65"/>
  <c r="I81" i="65"/>
  <c r="I40" i="65"/>
  <c r="B69" i="65"/>
  <c r="B80" i="65"/>
  <c r="B39" i="65"/>
  <c r="I39" i="65"/>
  <c r="I69" i="65"/>
  <c r="I80" i="65"/>
  <c r="I79" i="65"/>
  <c r="K70" i="65"/>
  <c r="B31" i="67"/>
  <c r="B40" i="67"/>
  <c r="B31" i="65"/>
  <c r="B82" i="65" s="1"/>
  <c r="I83" i="65"/>
  <c r="I72" i="65"/>
  <c r="I42" i="65"/>
  <c r="J23" i="66"/>
  <c r="I54" i="72"/>
  <c r="F31" i="67"/>
  <c r="D31" i="67"/>
  <c r="D40" i="67"/>
  <c r="E30" i="67"/>
  <c r="F42" i="65"/>
  <c r="F72" i="65"/>
  <c r="D70" i="65"/>
  <c r="D81" i="65"/>
  <c r="D40" i="65"/>
  <c r="N71" i="65"/>
  <c r="N41" i="65"/>
  <c r="L81" i="65"/>
  <c r="L70" i="65"/>
  <c r="L40" i="65"/>
  <c r="J83" i="65"/>
  <c r="J42" i="65"/>
  <c r="J72" i="65"/>
  <c r="M32" i="65"/>
  <c r="D39" i="65"/>
  <c r="D80" i="65"/>
  <c r="D69" i="65"/>
  <c r="E31" i="67"/>
  <c r="L82" i="65"/>
  <c r="L71" i="65"/>
  <c r="L41" i="65"/>
  <c r="G83" i="65"/>
  <c r="F25" i="66"/>
  <c r="C40" i="65"/>
  <c r="M40" i="65"/>
  <c r="M29" i="65"/>
  <c r="C20" i="72"/>
  <c r="C22" i="66"/>
  <c r="J69" i="65"/>
  <c r="J79" i="65"/>
  <c r="C16" i="71" s="1"/>
  <c r="C21" i="71" s="1"/>
  <c r="J80" i="65"/>
  <c r="J39" i="65"/>
  <c r="C31" i="67"/>
  <c r="C40" i="67"/>
  <c r="K40" i="65"/>
  <c r="I71" i="65"/>
  <c r="I82" i="65"/>
  <c r="I41" i="65"/>
  <c r="B30" i="67"/>
  <c r="B39" i="67"/>
  <c r="E81" i="65"/>
  <c r="E70" i="65"/>
  <c r="E40" i="65"/>
  <c r="B25" i="66"/>
  <c r="J41" i="65"/>
  <c r="J71" i="65"/>
  <c r="J82" i="65"/>
  <c r="F30" i="65"/>
  <c r="F81" i="65"/>
  <c r="M31" i="65"/>
  <c r="M82" i="65" s="1"/>
  <c r="D39" i="67"/>
  <c r="D30" i="67"/>
  <c r="J20" i="72"/>
  <c r="K22" i="66"/>
  <c r="L72" i="65"/>
  <c r="L42" i="65"/>
  <c r="L83" i="65"/>
  <c r="E82" i="65"/>
  <c r="E71" i="65"/>
  <c r="E41" i="65"/>
  <c r="B81" i="65"/>
  <c r="B40" i="65"/>
  <c r="B70" i="65"/>
  <c r="N18" i="65"/>
  <c r="F41" i="65"/>
  <c r="F71" i="65"/>
  <c r="J54" i="72"/>
  <c r="K23" i="66"/>
  <c r="G82" i="65" l="1"/>
  <c r="E20" i="72"/>
  <c r="B94" i="65"/>
  <c r="C23" i="66"/>
  <c r="D38" i="71"/>
  <c r="D39" i="71"/>
  <c r="E22" i="66"/>
  <c r="F24" i="66"/>
  <c r="C54" i="72"/>
  <c r="L25" i="66"/>
  <c r="K25" i="66"/>
  <c r="G25" i="66"/>
  <c r="J25" i="66"/>
  <c r="E24" i="66"/>
  <c r="K24" i="66"/>
  <c r="J24" i="66"/>
  <c r="L24" i="66"/>
  <c r="D24" i="66"/>
  <c r="M70" i="65"/>
  <c r="M83" i="65"/>
  <c r="M80" i="65"/>
  <c r="M79" i="65"/>
  <c r="B54" i="72"/>
  <c r="B23" i="66"/>
  <c r="M24" i="66"/>
  <c r="N24" i="66"/>
  <c r="F40" i="65"/>
  <c r="F70" i="65"/>
  <c r="E54" i="72"/>
  <c r="E23" i="66"/>
  <c r="I24" i="66"/>
  <c r="D20" i="72"/>
  <c r="D22" i="66"/>
  <c r="M42" i="65"/>
  <c r="M72" i="65"/>
  <c r="K54" i="72"/>
  <c r="L23" i="66"/>
  <c r="M23" i="66"/>
  <c r="L54" i="72"/>
  <c r="C92" i="65"/>
  <c r="F39" i="65"/>
  <c r="F69" i="65"/>
  <c r="N25" i="66"/>
  <c r="I25" i="66"/>
  <c r="B16" i="71"/>
  <c r="B21" i="71" s="1"/>
  <c r="I20" i="72"/>
  <c r="J22" i="66"/>
  <c r="D54" i="72"/>
  <c r="D23" i="66"/>
  <c r="B24" i="66"/>
  <c r="H20" i="72"/>
  <c r="I22" i="66"/>
  <c r="B20" i="72"/>
  <c r="B22" i="66"/>
  <c r="B79" i="65"/>
  <c r="H54" i="72"/>
  <c r="I23" i="66"/>
  <c r="L22" i="66"/>
  <c r="K20" i="72"/>
  <c r="M71" i="65"/>
  <c r="M41" i="65"/>
  <c r="F23" i="66"/>
  <c r="G81" i="65"/>
  <c r="F54" i="72"/>
  <c r="C40" i="71"/>
  <c r="C39" i="71"/>
  <c r="C38" i="71"/>
  <c r="M39" i="65"/>
  <c r="M69" i="65"/>
  <c r="B71" i="65"/>
  <c r="B41" i="65"/>
  <c r="F20" i="72"/>
  <c r="F22" i="66"/>
  <c r="G80" i="65"/>
  <c r="E40" i="71"/>
  <c r="E38" i="71"/>
  <c r="E39" i="71"/>
  <c r="M25" i="66" l="1"/>
  <c r="L20" i="72"/>
  <c r="G24" i="66"/>
  <c r="M22" i="66"/>
  <c r="C91" i="65"/>
  <c r="C24" i="66"/>
  <c r="B92" i="65"/>
  <c r="B93" i="65"/>
  <c r="C94" i="65"/>
  <c r="D94" i="65" s="1"/>
  <c r="G22" i="66"/>
  <c r="G20" i="72"/>
  <c r="C79" i="65"/>
  <c r="M20" i="72"/>
  <c r="N22" i="66"/>
  <c r="F16" i="71"/>
  <c r="F21" i="71" s="1"/>
  <c r="B38" i="71"/>
  <c r="B39" i="71"/>
  <c r="B40" i="71"/>
  <c r="M54" i="72"/>
  <c r="N23" i="66"/>
  <c r="G23" i="66"/>
  <c r="G54" i="72"/>
  <c r="B91" i="65"/>
  <c r="C93" i="65"/>
  <c r="C104" i="66" l="1"/>
  <c r="B90" i="65"/>
  <c r="B60" i="71" s="1"/>
  <c r="D93" i="65"/>
  <c r="D92" i="65"/>
  <c r="C60" i="72"/>
  <c r="C26" i="72"/>
  <c r="B60" i="72"/>
  <c r="B26" i="72"/>
  <c r="E94" i="65"/>
  <c r="G16" i="71"/>
  <c r="C90" i="65"/>
  <c r="D91" i="65"/>
  <c r="F38" i="71"/>
  <c r="F39" i="71"/>
  <c r="F40" i="71"/>
  <c r="J104" i="66" l="1"/>
  <c r="E92" i="65"/>
  <c r="E93" i="65"/>
  <c r="D26" i="72"/>
  <c r="C33" i="72" s="1"/>
  <c r="C103" i="66"/>
  <c r="B97" i="65"/>
  <c r="B98" i="65" s="1"/>
  <c r="C102" i="66"/>
  <c r="D60" i="72"/>
  <c r="E60" i="72" s="1"/>
  <c r="G21" i="71"/>
  <c r="I21" i="71" s="1"/>
  <c r="C60" i="71"/>
  <c r="C97" i="65"/>
  <c r="C98" i="65" s="1"/>
  <c r="E91" i="65"/>
  <c r="C101" i="66"/>
  <c r="D90" i="65"/>
  <c r="E90" i="65" s="1"/>
  <c r="J103" i="66" l="1"/>
  <c r="E26" i="72"/>
  <c r="B33" i="72"/>
  <c r="G38" i="72" s="1"/>
  <c r="C67" i="72"/>
  <c r="L72" i="72" s="1"/>
  <c r="B67" i="72"/>
  <c r="B72" i="72" s="1"/>
  <c r="G40" i="71"/>
  <c r="I40" i="71" s="1"/>
  <c r="D51" i="71" s="1"/>
  <c r="J102" i="66"/>
  <c r="G39" i="71"/>
  <c r="I39" i="71" s="1"/>
  <c r="G38" i="71"/>
  <c r="I38" i="71" s="1"/>
  <c r="B51" i="71" s="1"/>
  <c r="J101" i="66"/>
  <c r="D97" i="65"/>
  <c r="J38" i="72"/>
  <c r="K38" i="72"/>
  <c r="L38" i="72"/>
  <c r="M38" i="72"/>
  <c r="I38" i="72"/>
  <c r="H38" i="72"/>
  <c r="D60" i="71"/>
  <c r="M72" i="72" l="1"/>
  <c r="H72" i="72"/>
  <c r="E38" i="72"/>
  <c r="K72" i="72"/>
  <c r="B38" i="72"/>
  <c r="F38" i="72"/>
  <c r="C38" i="72"/>
  <c r="J72" i="72"/>
  <c r="D38" i="72"/>
  <c r="I72" i="72"/>
  <c r="C72" i="72"/>
  <c r="G72" i="72"/>
  <c r="E72" i="72"/>
  <c r="D72" i="72"/>
  <c r="F72" i="72"/>
  <c r="I37" i="71"/>
  <c r="C51" i="71"/>
  <c r="D98" i="65"/>
  <c r="E97" i="65"/>
  <c r="C66" i="71"/>
  <c r="F71" i="71" s="1"/>
  <c r="B66" i="71"/>
  <c r="E60" i="71"/>
  <c r="E71" i="71" l="1"/>
  <c r="D71" i="71"/>
  <c r="B71" i="71"/>
  <c r="C71" i="71"/>
  <c r="I21" i="66" l="1"/>
  <c r="J21" i="66"/>
  <c r="K21" i="66"/>
  <c r="C21" i="66"/>
  <c r="B21" i="66"/>
  <c r="B77" i="71"/>
  <c r="C77" i="71"/>
  <c r="D77" i="71" l="1"/>
  <c r="E77" i="71" l="1"/>
  <c r="C100" i="66"/>
  <c r="C107" i="66" l="1"/>
  <c r="J107" i="66" s="1"/>
  <c r="J100" i="66"/>
  <c r="C15" i="1" l="1"/>
  <c r="C14" i="1" l="1"/>
  <c r="D10" i="62" s="1"/>
  <c r="D23" i="62" l="1"/>
  <c r="J10" i="62"/>
  <c r="D20" i="62"/>
  <c r="L35" i="62" l="1"/>
  <c r="L36" i="62"/>
  <c r="L34" i="62"/>
  <c r="L39" i="62"/>
  <c r="L37" i="62"/>
  <c r="J20" i="62"/>
  <c r="J19" i="62" s="1"/>
  <c r="L38" i="62"/>
  <c r="L51" i="62"/>
  <c r="L52" i="62"/>
  <c r="L50" i="62"/>
  <c r="L55" i="62"/>
  <c r="L54" i="62"/>
  <c r="J23" i="62"/>
  <c r="J22" i="62" s="1"/>
  <c r="L53" i="62"/>
  <c r="M77" i="62" l="1"/>
  <c r="E15" i="64" s="1"/>
  <c r="E31" i="64" s="1"/>
  <c r="M76" i="62"/>
  <c r="E16" i="64" s="1"/>
  <c r="E32" i="64" s="1"/>
  <c r="M78" i="62"/>
  <c r="E14" i="64" s="1"/>
  <c r="E30" i="64" s="1"/>
  <c r="M75" i="62"/>
  <c r="E17" i="64" s="1"/>
  <c r="E33" i="64" s="1"/>
  <c r="M79" i="62"/>
  <c r="E13" i="64" s="1"/>
  <c r="E29" i="64" s="1"/>
  <c r="N99" i="62"/>
  <c r="M13" i="64" s="1"/>
  <c r="M29" i="64" s="1"/>
  <c r="N98" i="62"/>
  <c r="M14" i="64" s="1"/>
  <c r="M30" i="64" s="1"/>
  <c r="N97" i="62"/>
  <c r="M15" i="64" s="1"/>
  <c r="M31" i="64" s="1"/>
  <c r="N96" i="62"/>
  <c r="M16" i="64" s="1"/>
  <c r="M32" i="64" s="1"/>
  <c r="N95" i="62"/>
  <c r="O79" i="62"/>
  <c r="G13" i="64" s="1"/>
  <c r="G29" i="64" s="1"/>
  <c r="O76" i="62"/>
  <c r="G16" i="64" s="1"/>
  <c r="G32" i="64" s="1"/>
  <c r="O77" i="62"/>
  <c r="G15" i="64" s="1"/>
  <c r="G31" i="64" s="1"/>
  <c r="O78" i="62"/>
  <c r="G14" i="64" s="1"/>
  <c r="G30" i="64" s="1"/>
  <c r="O75" i="62"/>
  <c r="G17" i="64" s="1"/>
  <c r="G33" i="64" s="1"/>
  <c r="O98" i="62"/>
  <c r="N14" i="64" s="1"/>
  <c r="N30" i="64" s="1"/>
  <c r="O99" i="62"/>
  <c r="N13" i="64" s="1"/>
  <c r="N29" i="64" s="1"/>
  <c r="O97" i="62"/>
  <c r="N15" i="64" s="1"/>
  <c r="N31" i="64" s="1"/>
  <c r="O95" i="62"/>
  <c r="O96" i="62"/>
  <c r="N16" i="64" s="1"/>
  <c r="N32" i="64" s="1"/>
  <c r="J79" i="62"/>
  <c r="B13" i="64" s="1"/>
  <c r="J75" i="62"/>
  <c r="B17" i="64" s="1"/>
  <c r="B33" i="64" s="1"/>
  <c r="L41" i="62"/>
  <c r="J77" i="62"/>
  <c r="B15" i="64" s="1"/>
  <c r="B31" i="64" s="1"/>
  <c r="J76" i="62"/>
  <c r="B16" i="64" s="1"/>
  <c r="B32" i="64" s="1"/>
  <c r="J78" i="62"/>
  <c r="B14" i="64" s="1"/>
  <c r="B30" i="64" s="1"/>
  <c r="J97" i="62"/>
  <c r="I15" i="64" s="1"/>
  <c r="I31" i="64" s="1"/>
  <c r="J95" i="62"/>
  <c r="J98" i="62"/>
  <c r="I14" i="64" s="1"/>
  <c r="I30" i="64" s="1"/>
  <c r="J96" i="62"/>
  <c r="I16" i="64" s="1"/>
  <c r="I32" i="64" s="1"/>
  <c r="L57" i="62"/>
  <c r="J99" i="62"/>
  <c r="I13" i="64" s="1"/>
  <c r="L75" i="62"/>
  <c r="D17" i="64" s="1"/>
  <c r="D33" i="64" s="1"/>
  <c r="L78" i="62"/>
  <c r="D14" i="64" s="1"/>
  <c r="D30" i="64" s="1"/>
  <c r="L77" i="62"/>
  <c r="D15" i="64" s="1"/>
  <c r="D31" i="64" s="1"/>
  <c r="L79" i="62"/>
  <c r="D13" i="64" s="1"/>
  <c r="D29" i="64" s="1"/>
  <c r="L76" i="62"/>
  <c r="D16" i="64" s="1"/>
  <c r="D32" i="64" s="1"/>
  <c r="L95" i="62"/>
  <c r="L99" i="62"/>
  <c r="K13" i="64" s="1"/>
  <c r="K29" i="64" s="1"/>
  <c r="L97" i="62"/>
  <c r="K15" i="64" s="1"/>
  <c r="K31" i="64" s="1"/>
  <c r="L98" i="62"/>
  <c r="K14" i="64" s="1"/>
  <c r="K30" i="64" s="1"/>
  <c r="L96" i="62"/>
  <c r="K16" i="64" s="1"/>
  <c r="K32" i="64" s="1"/>
  <c r="K77" i="62"/>
  <c r="C15" i="64" s="1"/>
  <c r="C31" i="64" s="1"/>
  <c r="K78" i="62"/>
  <c r="C14" i="64" s="1"/>
  <c r="C30" i="64" s="1"/>
  <c r="K79" i="62"/>
  <c r="C13" i="64" s="1"/>
  <c r="C29" i="64" s="1"/>
  <c r="K76" i="62"/>
  <c r="C16" i="64" s="1"/>
  <c r="C32" i="64" s="1"/>
  <c r="K75" i="62"/>
  <c r="C17" i="64" s="1"/>
  <c r="C33" i="64" s="1"/>
  <c r="K99" i="62"/>
  <c r="J13" i="64" s="1"/>
  <c r="J29" i="64" s="1"/>
  <c r="K98" i="62"/>
  <c r="J14" i="64" s="1"/>
  <c r="J30" i="64" s="1"/>
  <c r="K97" i="62"/>
  <c r="J15" i="64" s="1"/>
  <c r="J31" i="64" s="1"/>
  <c r="K95" i="62"/>
  <c r="K96" i="62"/>
  <c r="J16" i="64" s="1"/>
  <c r="J32" i="64" s="1"/>
  <c r="N76" i="62"/>
  <c r="F16" i="64" s="1"/>
  <c r="N79" i="62"/>
  <c r="F13" i="64" s="1"/>
  <c r="N78" i="62"/>
  <c r="F14" i="64" s="1"/>
  <c r="N75" i="62"/>
  <c r="F17" i="64" s="1"/>
  <c r="N77" i="62"/>
  <c r="F15" i="64" s="1"/>
  <c r="M96" i="62"/>
  <c r="L16" i="64" s="1"/>
  <c r="L32" i="64" s="1"/>
  <c r="M95" i="62"/>
  <c r="M97" i="62"/>
  <c r="L15" i="64" s="1"/>
  <c r="L31" i="64" s="1"/>
  <c r="M98" i="62"/>
  <c r="L14" i="64" s="1"/>
  <c r="L30" i="64" s="1"/>
  <c r="M99" i="62"/>
  <c r="L13" i="64" s="1"/>
  <c r="L29" i="64" s="1"/>
  <c r="F32" i="64" l="1"/>
  <c r="F83" i="64"/>
  <c r="D16" i="67"/>
  <c r="K17" i="64"/>
  <c r="K33" i="64" s="1"/>
  <c r="I29" i="64"/>
  <c r="B41" i="64"/>
  <c r="B82" i="64"/>
  <c r="B71" i="64"/>
  <c r="N40" i="64"/>
  <c r="N81" i="64"/>
  <c r="M41" i="64"/>
  <c r="M82" i="64"/>
  <c r="L42" i="64"/>
  <c r="L83" i="64"/>
  <c r="C39" i="64"/>
  <c r="C69" i="64"/>
  <c r="G43" i="64"/>
  <c r="G73" i="64"/>
  <c r="M40" i="64"/>
  <c r="M81" i="64"/>
  <c r="G70" i="64"/>
  <c r="G40" i="64"/>
  <c r="M39" i="64"/>
  <c r="M79" i="64"/>
  <c r="F15" i="71" s="1"/>
  <c r="F20" i="71" s="1"/>
  <c r="M80" i="64"/>
  <c r="D83" i="64"/>
  <c r="D72" i="64"/>
  <c r="D42" i="64"/>
  <c r="B29" i="64"/>
  <c r="G71" i="64"/>
  <c r="G41" i="64"/>
  <c r="E80" i="64"/>
  <c r="E39" i="64"/>
  <c r="E69" i="64"/>
  <c r="C82" i="64"/>
  <c r="C41" i="64"/>
  <c r="C71" i="64"/>
  <c r="F82" i="64"/>
  <c r="F31" i="64"/>
  <c r="J41" i="64"/>
  <c r="J82" i="64"/>
  <c r="K83" i="64"/>
  <c r="K42" i="64"/>
  <c r="D69" i="64"/>
  <c r="D39" i="64"/>
  <c r="D80" i="64"/>
  <c r="B16" i="67"/>
  <c r="I17" i="64"/>
  <c r="I33" i="64" s="1"/>
  <c r="N42" i="64"/>
  <c r="N83" i="64"/>
  <c r="G42" i="64"/>
  <c r="G72" i="64"/>
  <c r="E84" i="64"/>
  <c r="E73" i="64"/>
  <c r="E43" i="64"/>
  <c r="C42" i="64"/>
  <c r="C83" i="64"/>
  <c r="C72" i="64"/>
  <c r="J42" i="64"/>
  <c r="J83" i="64"/>
  <c r="I83" i="64"/>
  <c r="I42" i="64"/>
  <c r="J17" i="64"/>
  <c r="J33" i="64" s="1"/>
  <c r="C16" i="67"/>
  <c r="I40" i="64"/>
  <c r="I81" i="64"/>
  <c r="L39" i="64"/>
  <c r="L80" i="64"/>
  <c r="L79" i="64"/>
  <c r="E15" i="71" s="1"/>
  <c r="E20" i="71" s="1"/>
  <c r="F33" i="64"/>
  <c r="F84" i="64"/>
  <c r="J40" i="64"/>
  <c r="J81" i="64"/>
  <c r="K40" i="64"/>
  <c r="K81" i="64"/>
  <c r="D82" i="64"/>
  <c r="D41" i="64"/>
  <c r="D71" i="64"/>
  <c r="I82" i="64"/>
  <c r="I41" i="64"/>
  <c r="G16" i="67"/>
  <c r="N17" i="64"/>
  <c r="N33" i="64" s="1"/>
  <c r="G69" i="64"/>
  <c r="G39" i="64"/>
  <c r="E81" i="64"/>
  <c r="E70" i="64"/>
  <c r="E40" i="64"/>
  <c r="L17" i="64"/>
  <c r="L33" i="64" s="1"/>
  <c r="E16" i="67"/>
  <c r="C81" i="64"/>
  <c r="C40" i="64"/>
  <c r="C70" i="64"/>
  <c r="B73" i="64"/>
  <c r="B43" i="64"/>
  <c r="B84" i="64"/>
  <c r="L40" i="64"/>
  <c r="L81" i="64"/>
  <c r="F30" i="64"/>
  <c r="F81" i="64"/>
  <c r="J39" i="64"/>
  <c r="J79" i="64"/>
  <c r="C15" i="71" s="1"/>
  <c r="C20" i="71" s="1"/>
  <c r="J80" i="64"/>
  <c r="J69" i="64"/>
  <c r="K82" i="64"/>
  <c r="K41" i="64"/>
  <c r="D40" i="64"/>
  <c r="D70" i="64"/>
  <c r="D81" i="64"/>
  <c r="B40" i="64"/>
  <c r="B70" i="64"/>
  <c r="B81" i="64"/>
  <c r="N82" i="64"/>
  <c r="N41" i="64"/>
  <c r="M17" i="64"/>
  <c r="M33" i="64" s="1"/>
  <c r="F16" i="67"/>
  <c r="E83" i="64"/>
  <c r="E72" i="64"/>
  <c r="E42" i="64"/>
  <c r="L82" i="64"/>
  <c r="L41" i="64"/>
  <c r="F80" i="64"/>
  <c r="F29" i="64"/>
  <c r="C73" i="64"/>
  <c r="C84" i="64"/>
  <c r="C43" i="64"/>
  <c r="K39" i="64"/>
  <c r="K79" i="64"/>
  <c r="D15" i="71" s="1"/>
  <c r="D20" i="71" s="1"/>
  <c r="K80" i="64"/>
  <c r="D84" i="64"/>
  <c r="D73" i="64"/>
  <c r="D43" i="64"/>
  <c r="B72" i="64"/>
  <c r="B42" i="64"/>
  <c r="B83" i="64"/>
  <c r="N80" i="64"/>
  <c r="N79" i="64"/>
  <c r="G15" i="71" s="1"/>
  <c r="G20" i="71" s="1"/>
  <c r="N39" i="64"/>
  <c r="M83" i="64"/>
  <c r="M42" i="64"/>
  <c r="E41" i="64"/>
  <c r="E71" i="64"/>
  <c r="E82" i="64"/>
  <c r="B13" i="66" l="1"/>
  <c r="B16" i="66"/>
  <c r="F16" i="66"/>
  <c r="K72" i="64"/>
  <c r="E14" i="66"/>
  <c r="B15" i="66"/>
  <c r="M71" i="64"/>
  <c r="C13" i="66"/>
  <c r="N72" i="64"/>
  <c r="D12" i="66"/>
  <c r="F14" i="66"/>
  <c r="B14" i="66"/>
  <c r="F41" i="67"/>
  <c r="J72" i="64"/>
  <c r="F12" i="66"/>
  <c r="E41" i="67"/>
  <c r="E13" i="66"/>
  <c r="C15" i="66"/>
  <c r="E16" i="66"/>
  <c r="B12" i="66"/>
  <c r="D15" i="66"/>
  <c r="F15" i="66"/>
  <c r="F13" i="66"/>
  <c r="C14" i="66"/>
  <c r="D16" i="66"/>
  <c r="C16" i="66"/>
  <c r="E15" i="66"/>
  <c r="D13" i="66"/>
  <c r="L70" i="64"/>
  <c r="D14" i="66"/>
  <c r="I72" i="64"/>
  <c r="E12" i="66"/>
  <c r="K69" i="64"/>
  <c r="K70" i="64"/>
  <c r="G32" i="67"/>
  <c r="G41" i="67"/>
  <c r="M72" i="64"/>
  <c r="N69" i="64"/>
  <c r="I70" i="64"/>
  <c r="J70" i="64"/>
  <c r="E34" i="71"/>
  <c r="E35" i="71"/>
  <c r="E36" i="71"/>
  <c r="B19" i="72"/>
  <c r="L14" i="66"/>
  <c r="N14" i="66"/>
  <c r="K14" i="66"/>
  <c r="L13" i="66"/>
  <c r="K53" i="72"/>
  <c r="E32" i="67"/>
  <c r="K19" i="72"/>
  <c r="L12" i="66"/>
  <c r="J43" i="64"/>
  <c r="J73" i="64"/>
  <c r="J84" i="64"/>
  <c r="N15" i="66"/>
  <c r="B69" i="64"/>
  <c r="B39" i="64"/>
  <c r="L19" i="72"/>
  <c r="M12" i="66"/>
  <c r="D35" i="71"/>
  <c r="D36" i="71"/>
  <c r="D34" i="71"/>
  <c r="C41" i="67"/>
  <c r="C32" i="67"/>
  <c r="B53" i="72"/>
  <c r="L84" i="64"/>
  <c r="L73" i="64"/>
  <c r="L43" i="64"/>
  <c r="K15" i="66"/>
  <c r="F34" i="71"/>
  <c r="F36" i="71"/>
  <c r="F35" i="71"/>
  <c r="M14" i="66"/>
  <c r="N18" i="64"/>
  <c r="C53" i="72"/>
  <c r="N84" i="64"/>
  <c r="N43" i="64"/>
  <c r="N73" i="64"/>
  <c r="J53" i="72"/>
  <c r="K13" i="66"/>
  <c r="M15" i="66"/>
  <c r="I19" i="72"/>
  <c r="J12" i="66"/>
  <c r="C93" i="64"/>
  <c r="I14" i="66"/>
  <c r="I53" i="72"/>
  <c r="J13" i="66"/>
  <c r="I71" i="64"/>
  <c r="I73" i="64"/>
  <c r="I84" i="64"/>
  <c r="I43" i="64"/>
  <c r="J71" i="64"/>
  <c r="I79" i="64"/>
  <c r="I80" i="64"/>
  <c r="I39" i="64"/>
  <c r="I69" i="64"/>
  <c r="C34" i="71"/>
  <c r="C35" i="71"/>
  <c r="C36" i="71"/>
  <c r="C94" i="64"/>
  <c r="I15" i="66"/>
  <c r="B32" i="67"/>
  <c r="B41" i="67"/>
  <c r="J14" i="66"/>
  <c r="N70" i="64"/>
  <c r="K71" i="64"/>
  <c r="K73" i="64"/>
  <c r="K43" i="64"/>
  <c r="K84" i="64"/>
  <c r="E19" i="72"/>
  <c r="M53" i="72"/>
  <c r="N13" i="66"/>
  <c r="D32" i="67"/>
  <c r="D41" i="67"/>
  <c r="D19" i="72"/>
  <c r="G35" i="71"/>
  <c r="G34" i="71"/>
  <c r="G36" i="71"/>
  <c r="F19" i="72"/>
  <c r="G80" i="64"/>
  <c r="M69" i="64"/>
  <c r="M43" i="64"/>
  <c r="M73" i="64"/>
  <c r="M84" i="64"/>
  <c r="G81" i="64"/>
  <c r="F53" i="72"/>
  <c r="F43" i="64"/>
  <c r="F73" i="64"/>
  <c r="I13" i="66"/>
  <c r="C92" i="64"/>
  <c r="H53" i="72"/>
  <c r="J15" i="66"/>
  <c r="F71" i="64"/>
  <c r="F41" i="64"/>
  <c r="M70" i="64"/>
  <c r="L72" i="64"/>
  <c r="G83" i="64"/>
  <c r="F69" i="64"/>
  <c r="F39" i="64"/>
  <c r="F32" i="67"/>
  <c r="D53" i="72"/>
  <c r="E53" i="72"/>
  <c r="G84" i="64"/>
  <c r="N12" i="66"/>
  <c r="M19" i="72"/>
  <c r="K12" i="66"/>
  <c r="J19" i="72"/>
  <c r="L71" i="64"/>
  <c r="N71" i="64"/>
  <c r="F40" i="64"/>
  <c r="F70" i="64"/>
  <c r="L69" i="64"/>
  <c r="G82" i="64"/>
  <c r="M13" i="66"/>
  <c r="L53" i="72"/>
  <c r="L15" i="66"/>
  <c r="F42" i="64"/>
  <c r="F72" i="64"/>
  <c r="M21" i="72" l="1"/>
  <c r="G16" i="66"/>
  <c r="G13" i="66"/>
  <c r="G15" i="66"/>
  <c r="F21" i="72"/>
  <c r="I55" i="72"/>
  <c r="L21" i="72"/>
  <c r="K21" i="72"/>
  <c r="J21" i="72"/>
  <c r="D21" i="72"/>
  <c r="C55" i="72"/>
  <c r="D55" i="72"/>
  <c r="M55" i="72"/>
  <c r="J55" i="72"/>
  <c r="L55" i="72"/>
  <c r="E55" i="72"/>
  <c r="F55" i="72"/>
  <c r="G12" i="66"/>
  <c r="E21" i="72"/>
  <c r="I21" i="72"/>
  <c r="K55" i="72"/>
  <c r="B79" i="64"/>
  <c r="C12" i="66"/>
  <c r="B93" i="64"/>
  <c r="B90" i="66" s="1"/>
  <c r="G14" i="66"/>
  <c r="E35" i="66"/>
  <c r="B94" i="64"/>
  <c r="J37" i="66"/>
  <c r="F34" i="66"/>
  <c r="E37" i="66"/>
  <c r="D37" i="66"/>
  <c r="I16" i="66"/>
  <c r="C95" i="64"/>
  <c r="C90" i="66"/>
  <c r="J90" i="66" s="1"/>
  <c r="J34" i="66"/>
  <c r="J16" i="66"/>
  <c r="K36" i="66"/>
  <c r="B21" i="72"/>
  <c r="D34" i="66"/>
  <c r="I37" i="66"/>
  <c r="C35" i="66"/>
  <c r="N36" i="66"/>
  <c r="C19" i="72"/>
  <c r="L37" i="66"/>
  <c r="M16" i="66"/>
  <c r="F36" i="66"/>
  <c r="F37" i="66"/>
  <c r="C59" i="72"/>
  <c r="C61" i="72" s="1"/>
  <c r="H55" i="72"/>
  <c r="D36" i="66"/>
  <c r="C38" i="66"/>
  <c r="K35" i="66"/>
  <c r="C36" i="66"/>
  <c r="L16" i="66"/>
  <c r="E38" i="66"/>
  <c r="K16" i="66"/>
  <c r="J36" i="66"/>
  <c r="C91" i="66"/>
  <c r="J91" i="66" s="1"/>
  <c r="J35" i="66"/>
  <c r="B38" i="66"/>
  <c r="L34" i="66"/>
  <c r="K34" i="66"/>
  <c r="F35" i="66"/>
  <c r="C91" i="64"/>
  <c r="H19" i="72"/>
  <c r="I12" i="66"/>
  <c r="M36" i="66"/>
  <c r="B55" i="72"/>
  <c r="N37" i="66"/>
  <c r="B36" i="66"/>
  <c r="B34" i="66"/>
  <c r="D38" i="66"/>
  <c r="C89" i="66"/>
  <c r="J89" i="66" s="1"/>
  <c r="C79" i="64"/>
  <c r="G19" i="72"/>
  <c r="E34" i="66"/>
  <c r="B15" i="71"/>
  <c r="B20" i="71" s="1"/>
  <c r="C90" i="64"/>
  <c r="L35" i="66"/>
  <c r="B95" i="64"/>
  <c r="D35" i="66"/>
  <c r="I35" i="66"/>
  <c r="B92" i="64"/>
  <c r="G53" i="72"/>
  <c r="N35" i="66"/>
  <c r="N16" i="66"/>
  <c r="B35" i="66"/>
  <c r="M34" i="66"/>
  <c r="L36" i="66"/>
  <c r="M35" i="66"/>
  <c r="N34" i="66"/>
  <c r="F38" i="66"/>
  <c r="E36" i="66"/>
  <c r="I36" i="66"/>
  <c r="M37" i="66"/>
  <c r="K37" i="66"/>
  <c r="C37" i="66"/>
  <c r="B37" i="66"/>
  <c r="B91" i="64"/>
  <c r="G55" i="72" l="1"/>
  <c r="B90" i="64"/>
  <c r="B79" i="66"/>
  <c r="C21" i="72"/>
  <c r="G21" i="72"/>
  <c r="N45" i="66"/>
  <c r="D93" i="64"/>
  <c r="E93" i="64" s="1"/>
  <c r="C78" i="66"/>
  <c r="K48" i="66"/>
  <c r="J47" i="66"/>
  <c r="L46" i="66"/>
  <c r="M48" i="66"/>
  <c r="F79" i="66"/>
  <c r="M46" i="66"/>
  <c r="B76" i="66"/>
  <c r="G38" i="66"/>
  <c r="B36" i="71"/>
  <c r="I36" i="71" s="1"/>
  <c r="D50" i="71" s="1"/>
  <c r="B34" i="71"/>
  <c r="I34" i="71" s="1"/>
  <c r="B35" i="71"/>
  <c r="I35" i="71" s="1"/>
  <c r="C50" i="71" s="1"/>
  <c r="I20" i="71"/>
  <c r="L38" i="66"/>
  <c r="B91" i="66"/>
  <c r="D94" i="64"/>
  <c r="E94" i="64" s="1"/>
  <c r="F77" i="66"/>
  <c r="C76" i="66"/>
  <c r="J45" i="66"/>
  <c r="I38" i="66"/>
  <c r="E78" i="66"/>
  <c r="C88" i="66"/>
  <c r="J88" i="66" s="1"/>
  <c r="K45" i="66"/>
  <c r="G36" i="66"/>
  <c r="N38" i="66"/>
  <c r="N46" i="66"/>
  <c r="B92" i="66"/>
  <c r="N48" i="66"/>
  <c r="C79" i="66"/>
  <c r="L48" i="66"/>
  <c r="D75" i="66"/>
  <c r="K47" i="66"/>
  <c r="B75" i="66"/>
  <c r="L45" i="66"/>
  <c r="C77" i="66"/>
  <c r="F75" i="66"/>
  <c r="J48" i="66"/>
  <c r="B88" i="66"/>
  <c r="D91" i="64"/>
  <c r="E91" i="64" s="1"/>
  <c r="G35" i="66"/>
  <c r="E75" i="66"/>
  <c r="E77" i="66"/>
  <c r="L47" i="66"/>
  <c r="D76" i="66"/>
  <c r="G34" i="66"/>
  <c r="B77" i="66"/>
  <c r="M47" i="66"/>
  <c r="F76" i="66"/>
  <c r="J46" i="66"/>
  <c r="M38" i="66"/>
  <c r="N47" i="66"/>
  <c r="I46" i="66"/>
  <c r="D79" i="66"/>
  <c r="C25" i="72"/>
  <c r="C27" i="72" s="1"/>
  <c r="H21" i="72"/>
  <c r="M45" i="66"/>
  <c r="D92" i="64"/>
  <c r="B89" i="66"/>
  <c r="I34" i="66"/>
  <c r="K38" i="66"/>
  <c r="F78" i="66"/>
  <c r="C34" i="66"/>
  <c r="B25" i="72"/>
  <c r="J38" i="66"/>
  <c r="D95" i="64"/>
  <c r="E95" i="64" s="1"/>
  <c r="C92" i="66"/>
  <c r="J92" i="66" s="1"/>
  <c r="D78" i="66"/>
  <c r="G37" i="66"/>
  <c r="D77" i="66"/>
  <c r="B97" i="64"/>
  <c r="D90" i="64"/>
  <c r="E90" i="64" s="1"/>
  <c r="B59" i="71"/>
  <c r="B78" i="66"/>
  <c r="I47" i="66"/>
  <c r="C59" i="71"/>
  <c r="C97" i="64"/>
  <c r="B59" i="72"/>
  <c r="E79" i="66"/>
  <c r="K46" i="66"/>
  <c r="I48" i="66"/>
  <c r="E76" i="66"/>
  <c r="D90" i="66"/>
  <c r="K90" i="66" s="1"/>
  <c r="I90" i="66"/>
  <c r="M78" i="66" l="1"/>
  <c r="D46" i="66"/>
  <c r="L75" i="66"/>
  <c r="F49" i="66"/>
  <c r="J75" i="66"/>
  <c r="K76" i="66"/>
  <c r="I78" i="66"/>
  <c r="E48" i="66"/>
  <c r="C61" i="71"/>
  <c r="N76" i="66"/>
  <c r="C47" i="66"/>
  <c r="D52" i="71"/>
  <c r="B103" i="66"/>
  <c r="I77" i="66"/>
  <c r="I76" i="66"/>
  <c r="N77" i="66"/>
  <c r="B48" i="66"/>
  <c r="E49" i="66"/>
  <c r="D49" i="66"/>
  <c r="L77" i="66"/>
  <c r="C49" i="66"/>
  <c r="L78" i="66"/>
  <c r="D48" i="66"/>
  <c r="N78" i="66"/>
  <c r="D47" i="66"/>
  <c r="M75" i="66"/>
  <c r="E47" i="66"/>
  <c r="M77" i="66"/>
  <c r="E46" i="66"/>
  <c r="J76" i="66"/>
  <c r="I89" i="66"/>
  <c r="D89" i="66"/>
  <c r="K89" i="66" s="1"/>
  <c r="B61" i="72"/>
  <c r="D59" i="72"/>
  <c r="K78" i="66"/>
  <c r="K79" i="66"/>
  <c r="K49" i="66"/>
  <c r="F45" i="66"/>
  <c r="G45" i="66"/>
  <c r="G75" i="66"/>
  <c r="B47" i="66"/>
  <c r="G77" i="66"/>
  <c r="G47" i="66"/>
  <c r="F47" i="66"/>
  <c r="I88" i="66"/>
  <c r="D88" i="66"/>
  <c r="K88" i="66" s="1"/>
  <c r="B45" i="66"/>
  <c r="J77" i="66"/>
  <c r="J79" i="66"/>
  <c r="J49" i="66"/>
  <c r="F48" i="66"/>
  <c r="F46" i="66"/>
  <c r="K77" i="66"/>
  <c r="I92" i="66"/>
  <c r="D92" i="66"/>
  <c r="K92" i="66" s="1"/>
  <c r="L76" i="66"/>
  <c r="L79" i="66"/>
  <c r="L49" i="66"/>
  <c r="B49" i="66"/>
  <c r="G79" i="66"/>
  <c r="G49" i="66"/>
  <c r="D97" i="64"/>
  <c r="D98" i="64" s="1"/>
  <c r="K75" i="66"/>
  <c r="B105" i="66"/>
  <c r="I75" i="66"/>
  <c r="I45" i="66"/>
  <c r="G46" i="66"/>
  <c r="G76" i="66"/>
  <c r="D45" i="66"/>
  <c r="B104" i="66"/>
  <c r="B46" i="66"/>
  <c r="I49" i="66"/>
  <c r="I79" i="66"/>
  <c r="I91" i="66"/>
  <c r="D91" i="66"/>
  <c r="K91" i="66" s="1"/>
  <c r="C52" i="71"/>
  <c r="B27" i="72"/>
  <c r="D25" i="72"/>
  <c r="E25" i="72" s="1"/>
  <c r="C48" i="66"/>
  <c r="G48" i="66"/>
  <c r="G78" i="66"/>
  <c r="C45" i="66"/>
  <c r="C75" i="66"/>
  <c r="M79" i="66"/>
  <c r="M49" i="66"/>
  <c r="N75" i="66"/>
  <c r="N79" i="66"/>
  <c r="N49" i="66"/>
  <c r="C46" i="66"/>
  <c r="B50" i="71"/>
  <c r="I33" i="71"/>
  <c r="E90" i="66"/>
  <c r="B61" i="71"/>
  <c r="D59" i="71"/>
  <c r="E59" i="71" s="1"/>
  <c r="E92" i="64"/>
  <c r="B102" i="66"/>
  <c r="E45" i="66"/>
  <c r="B101" i="66"/>
  <c r="J78" i="66"/>
  <c r="M76" i="66"/>
  <c r="D103" i="66" l="1"/>
  <c r="E103" i="66" s="1"/>
  <c r="I103" i="66"/>
  <c r="E92" i="66"/>
  <c r="E89" i="66"/>
  <c r="E59" i="72"/>
  <c r="D61" i="72"/>
  <c r="E61" i="72" s="1"/>
  <c r="C66" i="72"/>
  <c r="B66" i="72"/>
  <c r="I105" i="66"/>
  <c r="D105" i="66"/>
  <c r="D104" i="66"/>
  <c r="I104" i="66"/>
  <c r="I101" i="66"/>
  <c r="D101" i="66"/>
  <c r="C65" i="71"/>
  <c r="D70" i="71" s="1"/>
  <c r="D61" i="71"/>
  <c r="E61" i="71" s="1"/>
  <c r="B65" i="71"/>
  <c r="B52" i="71"/>
  <c r="E91" i="66"/>
  <c r="I102" i="66"/>
  <c r="D102" i="66"/>
  <c r="E97" i="64"/>
  <c r="D27" i="72"/>
  <c r="E27" i="72" s="1"/>
  <c r="B32" i="72"/>
  <c r="C32" i="72"/>
  <c r="E88" i="66"/>
  <c r="K104" i="66" l="1"/>
  <c r="K103" i="66"/>
  <c r="B37" i="72"/>
  <c r="E37" i="72"/>
  <c r="F37" i="72"/>
  <c r="D37" i="72"/>
  <c r="G37" i="72"/>
  <c r="C37" i="72"/>
  <c r="E102" i="66"/>
  <c r="K102" i="66"/>
  <c r="B70" i="71"/>
  <c r="C70" i="71"/>
  <c r="E104" i="66"/>
  <c r="B71" i="72"/>
  <c r="D71" i="72"/>
  <c r="C71" i="72"/>
  <c r="G71" i="72"/>
  <c r="F71" i="72"/>
  <c r="E71" i="72"/>
  <c r="F70" i="71"/>
  <c r="E70" i="71"/>
  <c r="L71" i="72"/>
  <c r="I71" i="72"/>
  <c r="K71" i="72"/>
  <c r="H71" i="72"/>
  <c r="J71" i="72"/>
  <c r="M71" i="72"/>
  <c r="E101" i="66"/>
  <c r="K101" i="66"/>
  <c r="E105" i="66"/>
  <c r="K105" i="66"/>
  <c r="D72" i="71"/>
  <c r="I11" i="66"/>
  <c r="J37" i="72"/>
  <c r="M37" i="72"/>
  <c r="H37" i="72"/>
  <c r="L37" i="72"/>
  <c r="K37" i="72"/>
  <c r="I37" i="72"/>
  <c r="B11" i="66" l="1"/>
  <c r="C11" i="66"/>
  <c r="C76" i="71"/>
  <c r="C78" i="71" s="1"/>
  <c r="C87" i="66" s="1"/>
  <c r="M39" i="72"/>
  <c r="M73" i="72"/>
  <c r="F73" i="72"/>
  <c r="E39" i="72"/>
  <c r="J39" i="72"/>
  <c r="J73" i="72"/>
  <c r="G73" i="72"/>
  <c r="B39" i="72"/>
  <c r="H73" i="72"/>
  <c r="C73" i="72"/>
  <c r="K73" i="72"/>
  <c r="D73" i="72"/>
  <c r="C72" i="71"/>
  <c r="I39" i="72"/>
  <c r="I33" i="66"/>
  <c r="I73" i="72"/>
  <c r="E72" i="71"/>
  <c r="J11" i="66"/>
  <c r="B73" i="72"/>
  <c r="B72" i="71"/>
  <c r="B76" i="71"/>
  <c r="C39" i="72"/>
  <c r="K39" i="72"/>
  <c r="L73" i="72"/>
  <c r="F72" i="71"/>
  <c r="K11" i="66"/>
  <c r="G39" i="72"/>
  <c r="L39" i="72"/>
  <c r="D39" i="72"/>
  <c r="H39" i="72"/>
  <c r="E73" i="72"/>
  <c r="F39" i="72"/>
  <c r="C94" i="66" l="1"/>
  <c r="J94" i="66" s="1"/>
  <c r="J87" i="66"/>
  <c r="C33" i="66"/>
  <c r="D76" i="71"/>
  <c r="E76" i="71" s="1"/>
  <c r="B78" i="71"/>
  <c r="B33" i="66"/>
  <c r="K33" i="66"/>
  <c r="J33" i="66"/>
  <c r="K44" i="66" l="1"/>
  <c r="C44" i="66"/>
  <c r="B44" i="66"/>
  <c r="B87" i="66"/>
  <c r="I44" i="66"/>
  <c r="D78" i="71"/>
  <c r="D79" i="71" s="1"/>
  <c r="B100" i="66"/>
  <c r="J44" i="66"/>
  <c r="B94" i="66" l="1"/>
  <c r="D87" i="66"/>
  <c r="K87" i="66" s="1"/>
  <c r="I87" i="66"/>
  <c r="D100" i="66"/>
  <c r="I100" i="66"/>
  <c r="B107" i="66"/>
  <c r="E78" i="71"/>
  <c r="E87" i="66" l="1"/>
  <c r="I107" i="66"/>
  <c r="D107" i="66"/>
  <c r="K107" i="66" s="1"/>
  <c r="I94" i="66"/>
  <c r="D94" i="66"/>
  <c r="E94" i="66" s="1"/>
  <c r="E100" i="66"/>
  <c r="K100" i="66"/>
  <c r="E107" i="66" l="1"/>
  <c r="D95" i="66"/>
  <c r="K94" i="66"/>
</calcChain>
</file>

<file path=xl/sharedStrings.xml><?xml version="1.0" encoding="utf-8"?>
<sst xmlns="http://schemas.openxmlformats.org/spreadsheetml/2006/main" count="1259" uniqueCount="235">
  <si>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</si>
  <si>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</si>
  <si>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</si>
  <si>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</si>
  <si>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</si>
  <si>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</si>
  <si>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</si>
  <si>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</si>
  <si>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</si>
  <si>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</si>
  <si>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</si>
  <si>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</si>
  <si>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</si>
  <si>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</si>
  <si>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</si>
  <si>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</si>
  <si>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</si>
  <si>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</si>
  <si>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</si>
  <si>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</si>
  <si>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</si>
  <si>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</si>
  <si>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</si>
  <si>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</si>
  <si>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</si>
  <si>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</si>
  <si>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</si>
  <si>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</si>
  <si>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</si>
  <si>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</si>
  <si>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</si>
  <si>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</si>
  <si>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</si>
  <si>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</si>
  <si>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</si>
  <si>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</si>
  <si>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</si>
  <si>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</si>
  <si>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</si>
  <si>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</si>
  <si>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</si>
  <si>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</si>
  <si>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</si>
  <si>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</si>
  <si>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</si>
  <si>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</si>
  <si>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</si>
  <si>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</si>
  <si>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</si>
  <si>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</si>
  <si>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</si>
  <si>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</si>
  <si>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</si>
  <si>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</si>
  <si>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</si>
  <si>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</si>
  <si>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</si>
  <si>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</si>
  <si>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</si>
  <si>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</si>
  <si>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</si>
  <si>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</si>
  <si>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</si>
  <si>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</si>
  <si>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</si>
  <si>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</si>
  <si>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</si>
  <si>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</si>
  <si>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</si>
  <si>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</si>
  <si>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</si>
  <si>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</si>
  <si>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</si>
  <si>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</si>
  <si>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</si>
  <si>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</si>
  <si>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</si>
  <si>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</si>
  <si>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</si>
  <si>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</si>
  <si>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</si>
  <si>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</si>
  <si>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</si>
  <si>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</si>
  <si>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</si>
  <si>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</si>
  <si>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</si>
  <si>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</si>
  <si>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</si>
  <si>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</si>
  <si>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</si>
  <si>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</si>
  <si>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</si>
  <si>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</si>
  <si>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</si>
  <si>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</si>
  <si>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</si>
  <si>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</si>
  <si>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</si>
  <si>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</si>
  <si>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</si>
  <si>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</si>
  <si>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</si>
  <si>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</si>
  <si>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</si>
  <si>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</si>
  <si>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</si>
  <si>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</si>
  <si>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</si>
  <si>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</si>
  <si>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</si>
  <si>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</si>
  <si>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</si>
  <si>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</si>
  <si>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</si>
  <si>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</si>
  <si>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</si>
  <si>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</si>
  <si>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</si>
  <si>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</si>
  <si>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</si>
  <si>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</si>
  <si>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</si>
  <si>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</si>
  <si>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</si>
  <si>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</si>
  <si>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</si>
  <si>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</si>
  <si>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</si>
  <si>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</si>
  <si>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</si>
  <si>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</si>
  <si>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</si>
  <si>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</si>
  <si>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</si>
  <si>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</si>
  <si>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</si>
  <si>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</si>
  <si>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</si>
  <si>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</si>
  <si>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</si>
  <si>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</si>
  <si>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</si>
  <si>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</si>
  <si>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</si>
  <si>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</si>
  <si>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</si>
  <si>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</si>
  <si>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</si>
  <si>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</si>
  <si>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</si>
  <si>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</si>
  <si>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</si>
  <si>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</si>
  <si>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</si>
  <si>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</si>
  <si>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</si>
  <si>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</si>
  <si>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</si>
  <si>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</si>
  <si>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</si>
  <si>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</si>
  <si>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</si>
  <si>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</si>
  <si>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</si>
  <si>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</si>
  <si>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</si>
  <si>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</si>
  <si>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</si>
  <si>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</si>
  <si>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</si>
  <si>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</si>
  <si>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</si>
  <si>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</si>
  <si>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</si>
  <si>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</si>
  <si>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</si>
  <si>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</si>
  <si>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</si>
  <si>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</si>
  <si>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</si>
  <si>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</si>
  <si>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</si>
  <si>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</si>
  <si>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</si>
  <si>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</si>
  <si>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</si>
  <si>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</si>
  <si>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</si>
  <si>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</si>
  <si>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</si>
  <si>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</si>
  <si>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</si>
  <si>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</si>
  <si>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</si>
  <si>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</si>
  <si>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</si>
  <si>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</si>
  <si>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</si>
  <si>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</si>
  <si>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</si>
  <si>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</si>
  <si>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</si>
  <si>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</si>
  <si>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</si>
  <si>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</si>
  <si>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</si>
  <si>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</si>
  <si>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</si>
  <si>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</si>
  <si>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</si>
  <si>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</si>
  <si>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Circular 3/2020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</si>
  <si>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</si>
  <si>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</si>
  <si>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</si>
  <si>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</si>
  <si>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</si>
  <si>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</si>
  <si>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</si>
  <si>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</si>
  <si>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</si>
  <si>
    <t>Fuente: Previsión CNMC 2023</t>
  </si>
  <si>
    <t>Excesos de potencia</t>
  </si>
  <si>
    <t>Energía reactiva</t>
  </si>
  <si>
    <t>Ingresos por peajes transporte</t>
  </si>
  <si>
    <t>Fuente: Previsión de retribución de la distribución para el ejercicio 2023</t>
  </si>
  <si>
    <t>Facturación media (€/MWh)</t>
  </si>
  <si>
    <t>Fuente: Curvas de carga de consumidores conectados en baja tensión con potencia contratada inferior a 15 kW. Sistema peninsular. Año 2022</t>
  </si>
  <si>
    <t>Fuente: Previsión CNMC 2024</t>
  </si>
  <si>
    <t>Fuente: Curvas de carga del sistema peninular, balances de energía, y calendario propuesta Circular para el ejercicio 2022</t>
  </si>
  <si>
    <t>Retribución provisional 2024</t>
  </si>
  <si>
    <t>Fuente: Previsión de retribución del transporte para el ejercicio 2024</t>
  </si>
  <si>
    <t>IIa.- Balances de potencia. Circular 3/2020. Año 2021</t>
  </si>
  <si>
    <t>IIb.- Balances de energía. Circular 3/2020.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</si>
</sst>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,##0_ ;\-#,##0\ "/>
    <numFmt numFmtId="169" formatCode="0.0%"/>
    <numFmt numFmtId="170" formatCode="#,##0.000"/>
    <numFmt numFmtId="171" formatCode="_-\ #,##0\ _€_-;\-\ #,##0\ _€_-;_-\ &quot;-&quot;??\ _€_-;_-@_-"/>
    <numFmt numFmtId="172" formatCode="_-* #,##0\ _€_-;\-* #,##0\ _€_-;_-* &quot;-&quot;??\ _€_-;_-@_-"/>
    <numFmt numFmtId="173" formatCode="[$-C0A]mmm\-yy;@"/>
    <numFmt numFmtId="174" formatCode="_-* #,##0.0\ _P_t_a_-;\-* #,##0.0\ _P_t_a_-;_-* &quot;-&quot;\ _P_t_a_-;_-@_-"/>
    <numFmt numFmtId="175" formatCode="_-* #,##0.000\ _P_t_a_-;\-* #,##0.000\ _P_t_a_-;_-* &quot;-&quot;??\ _P_t_a_-;_-@_-"/>
    <numFmt numFmtId="176" formatCode="#,##0.00000"/>
    <numFmt numFmtId="177" formatCode="_-* #,##0.0000\ _€_-;\-* #,##0.0000\ _€_-;_-* &quot;-&quot;??\ _€_-;_-@_-"/>
    <numFmt numFmtId="178" formatCode="_-* #,##0\ _€_-;\-* #,##0\ _€_-;_-* &quot;-&quot;????\ _€_-;_-@_-"/>
    <numFmt numFmtId="179" formatCode="_-* #,##0.0\ _P_t_a_-;\-* #,##0.0\ _P_t_a_-;_-* &quot;-&quot;??\ _P_t_a_-;_-@_-"/>
    <numFmt numFmtId="180" formatCode="_-* #,##0.000000\ _€_-;\-* #,##0.000000\ _€_-;_-* &quot;-&quot;??\ _€_-;_-@_-"/>
    <numFmt numFmtId="181" formatCode="_-* #,##0\ _P_t_a_-;\-* #,##0\ _P_t_a_-;_-* &quot;-&quot;??\ _P_t_a_-;_-@_-"/>
    <numFmt numFmtId="182" formatCode="_-* #,##0.0000\ _€_-;\-* #,##0.0000\ _€_-;_-* &quot;-&quot;????\ _€_-;_-@_-"/>
    <numFmt numFmtId="183" formatCode="_-* #,##0.000000\ _€_-;\-* #,##0.000000\ _€_-;_-* &quot;-&quot;??????\ _€_-;_-@_-"/>
    <numFmt numFmtId="184" formatCode="_-* #,##0.0\ _€_-;\-* #,##0.0\ _€_-;_-* &quot;-&quot;?\ _€_-;_-@_-"/>
    <numFmt numFmtId="185" formatCode="_-* #,##0.0000000\ _P_t_a_-;\-* #,##0.0000000\ _P_t_a_-;_-* &quot;-&quot;??\ _P_t_a_-;_-@_-"/>
    <numFmt numFmtId="186" formatCode="_-* #,##0.000\ _€_-;\-* #,##0.000\ _€_-;_-* &quot;-&quot;??\ _€_-;_-@_-"/>
    <numFmt numFmtId="187" formatCode="_-* #,##0.0000\ _P_t_a_-;\-* #,##0.0000\ _P_t_a_-;_-* &quot;-&quot;??\ _P_t_a_-;_-@_-"/>
    <numFmt numFmtId="188" formatCode="_-* #,##0.000000\ _P_t_a_-;\-* #,##0.000000\ _P_t_a_-;_-* &quot;-&quot;??\ _P_t_a_-;_-@_-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5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808080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20">
    <xf numFmtId="0" fontId="0" fillId="0" borderId="0"/>
    <xf numFmtId="166" fontId="13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167" fontId="2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3" fillId="0" borderId="0" applyFont="0" applyFill="0" applyBorder="0" applyAlignment="0" applyProtection="0"/>
    <xf numFmtId="3" fontId="30" fillId="17" borderId="0"/>
    <xf numFmtId="3" fontId="31" fillId="17" borderId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3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0" fontId="13" fillId="0" borderId="0"/>
    <xf numFmtId="173" fontId="13" fillId="0" borderId="0"/>
    <xf numFmtId="0" fontId="13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13" fillId="0" borderId="0"/>
    <xf numFmtId="165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173" fontId="32" fillId="20" borderId="0" applyNumberFormat="0" applyBorder="0" applyAlignment="0" applyProtection="0"/>
    <xf numFmtId="173" fontId="32" fillId="21" borderId="0" applyNumberFormat="0" applyBorder="0" applyAlignment="0" applyProtection="0"/>
    <xf numFmtId="173" fontId="32" fillId="22" borderId="0" applyNumberFormat="0" applyBorder="0" applyAlignment="0" applyProtection="0"/>
    <xf numFmtId="173" fontId="32" fillId="23" borderId="0" applyNumberFormat="0" applyBorder="0" applyAlignment="0" applyProtection="0"/>
    <xf numFmtId="173" fontId="32" fillId="24" borderId="0" applyNumberFormat="0" applyBorder="0" applyAlignment="0" applyProtection="0"/>
    <xf numFmtId="173" fontId="32" fillId="25" borderId="0" applyNumberFormat="0" applyBorder="0" applyAlignment="0" applyProtection="0"/>
    <xf numFmtId="173" fontId="32" fillId="26" borderId="0" applyNumberFormat="0" applyBorder="0" applyAlignment="0" applyProtection="0"/>
    <xf numFmtId="173" fontId="32" fillId="27" borderId="0" applyNumberFormat="0" applyBorder="0" applyAlignment="0" applyProtection="0"/>
    <xf numFmtId="173" fontId="32" fillId="28" borderId="0" applyNumberFormat="0" applyBorder="0" applyAlignment="0" applyProtection="0"/>
    <xf numFmtId="173" fontId="32" fillId="23" borderId="0" applyNumberFormat="0" applyBorder="0" applyAlignment="0" applyProtection="0"/>
    <xf numFmtId="173" fontId="32" fillId="26" borderId="0" applyNumberFormat="0" applyBorder="0" applyAlignment="0" applyProtection="0"/>
    <xf numFmtId="173" fontId="32" fillId="29" borderId="0" applyNumberFormat="0" applyBorder="0" applyAlignment="0" applyProtection="0"/>
    <xf numFmtId="173" fontId="35" fillId="30" borderId="0" applyNumberFormat="0" applyBorder="0" applyAlignment="0" applyProtection="0"/>
    <xf numFmtId="173" fontId="35" fillId="27" borderId="0" applyNumberFormat="0" applyBorder="0" applyAlignment="0" applyProtection="0"/>
    <xf numFmtId="173" fontId="35" fillId="28" borderId="0" applyNumberFormat="0" applyBorder="0" applyAlignment="0" applyProtection="0"/>
    <xf numFmtId="173" fontId="35" fillId="31" borderId="0" applyNumberFormat="0" applyBorder="0" applyAlignment="0" applyProtection="0"/>
    <xf numFmtId="173" fontId="35" fillId="32" borderId="0" applyNumberFormat="0" applyBorder="0" applyAlignment="0" applyProtection="0"/>
    <xf numFmtId="173" fontId="35" fillId="33" borderId="0" applyNumberFormat="0" applyBorder="0" applyAlignment="0" applyProtection="0"/>
    <xf numFmtId="173" fontId="35" fillId="34" borderId="0" applyNumberFormat="0" applyBorder="0" applyAlignment="0" applyProtection="0"/>
    <xf numFmtId="173" fontId="32" fillId="35" borderId="0" applyNumberFormat="0" applyBorder="0" applyAlignment="0" applyProtection="0"/>
    <xf numFmtId="173" fontId="32" fillId="35" borderId="0" applyNumberFormat="0" applyBorder="0" applyAlignment="0" applyProtection="0"/>
    <xf numFmtId="173" fontId="35" fillId="36" borderId="0" applyNumberFormat="0" applyBorder="0" applyAlignment="0" applyProtection="0"/>
    <xf numFmtId="173" fontId="35" fillId="37" borderId="0" applyNumberFormat="0" applyBorder="0" applyAlignment="0" applyProtection="0"/>
    <xf numFmtId="173" fontId="32" fillId="38" borderId="0" applyNumberFormat="0" applyBorder="0" applyAlignment="0" applyProtection="0"/>
    <xf numFmtId="173" fontId="32" fillId="39" borderId="0" applyNumberFormat="0" applyBorder="0" applyAlignment="0" applyProtection="0"/>
    <xf numFmtId="173" fontId="35" fillId="40" borderId="0" applyNumberFormat="0" applyBorder="0" applyAlignment="0" applyProtection="0"/>
    <xf numFmtId="173" fontId="35" fillId="40" borderId="0" applyNumberFormat="0" applyBorder="0" applyAlignment="0" applyProtection="0"/>
    <xf numFmtId="173" fontId="32" fillId="38" borderId="0" applyNumberFormat="0" applyBorder="0" applyAlignment="0" applyProtection="0"/>
    <xf numFmtId="173" fontId="32" fillId="41" borderId="0" applyNumberFormat="0" applyBorder="0" applyAlignment="0" applyProtection="0"/>
    <xf numFmtId="173" fontId="35" fillId="39" borderId="0" applyNumberFormat="0" applyBorder="0" applyAlignment="0" applyProtection="0"/>
    <xf numFmtId="173" fontId="35" fillId="34" borderId="0" applyNumberFormat="0" applyBorder="0" applyAlignment="0" applyProtection="0"/>
    <xf numFmtId="173" fontId="32" fillId="35" borderId="0" applyNumberFormat="0" applyBorder="0" applyAlignment="0" applyProtection="0"/>
    <xf numFmtId="173" fontId="32" fillId="39" borderId="0" applyNumberFormat="0" applyBorder="0" applyAlignment="0" applyProtection="0"/>
    <xf numFmtId="173" fontId="35" fillId="39" borderId="0" applyNumberFormat="0" applyBorder="0" applyAlignment="0" applyProtection="0"/>
    <xf numFmtId="173" fontId="35" fillId="42" borderId="0" applyNumberFormat="0" applyBorder="0" applyAlignment="0" applyProtection="0"/>
    <xf numFmtId="173" fontId="32" fillId="43" borderId="0" applyNumberFormat="0" applyBorder="0" applyAlignment="0" applyProtection="0"/>
    <xf numFmtId="173" fontId="32" fillId="35" borderId="0" applyNumberFormat="0" applyBorder="0" applyAlignment="0" applyProtection="0"/>
    <xf numFmtId="173" fontId="35" fillId="36" borderId="0" applyNumberFormat="0" applyBorder="0" applyAlignment="0" applyProtection="0"/>
    <xf numFmtId="173" fontId="35" fillId="44" borderId="0" applyNumberFormat="0" applyBorder="0" applyAlignment="0" applyProtection="0"/>
    <xf numFmtId="173" fontId="32" fillId="38" borderId="0" applyNumberFormat="0" applyBorder="0" applyAlignment="0" applyProtection="0"/>
    <xf numFmtId="173" fontId="32" fillId="45" borderId="0" applyNumberFormat="0" applyBorder="0" applyAlignment="0" applyProtection="0"/>
    <xf numFmtId="173" fontId="35" fillId="45" borderId="0" applyNumberFormat="0" applyBorder="0" applyAlignment="0" applyProtection="0"/>
    <xf numFmtId="173" fontId="36" fillId="46" borderId="0" applyNumberFormat="0" applyBorder="0" applyAlignment="0" applyProtection="0"/>
    <xf numFmtId="173" fontId="37" fillId="47" borderId="74" applyNumberFormat="0" applyAlignment="0" applyProtection="0"/>
    <xf numFmtId="173" fontId="38" fillId="40" borderId="75" applyNumberFormat="0" applyAlignment="0" applyProtection="0"/>
    <xf numFmtId="173" fontId="39" fillId="48" borderId="0" applyNumberFormat="0" applyBorder="0" applyAlignment="0" applyProtection="0"/>
    <xf numFmtId="173" fontId="39" fillId="49" borderId="0" applyNumberFormat="0" applyBorder="0" applyAlignment="0" applyProtection="0"/>
    <xf numFmtId="173" fontId="39" fillId="50" borderId="0" applyNumberFormat="0" applyBorder="0" applyAlignment="0" applyProtection="0"/>
    <xf numFmtId="173" fontId="40" fillId="0" borderId="0" applyNumberFormat="0" applyFill="0" applyBorder="0" applyAlignment="0" applyProtection="0"/>
    <xf numFmtId="173" fontId="41" fillId="41" borderId="0" applyNumberFormat="0" applyBorder="0" applyAlignment="0" applyProtection="0"/>
    <xf numFmtId="173" fontId="42" fillId="0" borderId="76" applyNumberFormat="0" applyFill="0" applyAlignment="0" applyProtection="0"/>
    <xf numFmtId="173" fontId="43" fillId="0" borderId="77" applyNumberFormat="0" applyFill="0" applyAlignment="0" applyProtection="0"/>
    <xf numFmtId="173" fontId="44" fillId="0" borderId="78" applyNumberFormat="0" applyFill="0" applyAlignment="0" applyProtection="0"/>
    <xf numFmtId="173" fontId="44" fillId="0" borderId="0" applyNumberFormat="0" applyFill="0" applyBorder="0" applyAlignment="0" applyProtection="0"/>
    <xf numFmtId="173" fontId="45" fillId="45" borderId="74" applyNumberFormat="0" applyAlignment="0" applyProtection="0"/>
    <xf numFmtId="173" fontId="46" fillId="0" borderId="79" applyNumberFormat="0" applyFill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8" fillId="0" borderId="0"/>
    <xf numFmtId="173" fontId="13" fillId="38" borderId="73" applyNumberFormat="0" applyFont="0" applyAlignment="0" applyProtection="0"/>
    <xf numFmtId="173" fontId="47" fillId="47" borderId="80" applyNumberFormat="0" applyAlignment="0" applyProtection="0"/>
    <xf numFmtId="9" fontId="13" fillId="0" borderId="0" applyFont="0" applyFill="0" applyBorder="0" applyAlignment="0" applyProtection="0"/>
    <xf numFmtId="173" fontId="48" fillId="0" borderId="0" applyNumberFormat="0" applyFill="0" applyBorder="0" applyAlignment="0" applyProtection="0"/>
    <xf numFmtId="173" fontId="49" fillId="0" borderId="0" applyNumberFormat="0" applyFill="0" applyBorder="0" applyAlignment="0" applyProtection="0"/>
    <xf numFmtId="173" fontId="50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6" fillId="0" borderId="0"/>
    <xf numFmtId="0" fontId="13" fillId="0" borderId="0"/>
    <xf numFmtId="165" fontId="1" fillId="0" borderId="0" applyFont="0" applyFill="0" applyBorder="0" applyAlignment="0" applyProtection="0"/>
    <xf numFmtId="0" fontId="1" fillId="0" borderId="0"/>
  </cellStyleXfs>
  <cellXfs count="652">
    <xf numFmtId="0" fontId="0" fillId="0" borderId="0" xfId="0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4" fillId="0" borderId="0" xfId="0" applyNumberFormat="1" applyFont="1" applyAlignment="1">
      <alignment vertical="center"/>
    </xf>
    <xf numFmtId="166" fontId="0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9" fontId="0" fillId="0" borderId="21" xfId="3" applyNumberFormat="1" applyFont="1" applyBorder="1" applyAlignment="1">
      <alignment vertical="center"/>
    </xf>
    <xf numFmtId="169" fontId="0" fillId="0" borderId="22" xfId="3" applyNumberFormat="1" applyFont="1" applyBorder="1" applyAlignment="1">
      <alignment vertical="center"/>
    </xf>
    <xf numFmtId="169" fontId="0" fillId="0" borderId="23" xfId="3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3" borderId="7" xfId="0" applyFont="1" applyFill="1" applyBorder="1" applyAlignment="1">
      <alignment horizontal="centerContinuous" vertical="center" wrapText="1"/>
    </xf>
    <xf numFmtId="0" fontId="16" fillId="3" borderId="6" xfId="0" applyFont="1" applyFill="1" applyBorder="1" applyAlignment="1">
      <alignment horizontal="centerContinuous" vertical="center" wrapText="1"/>
    </xf>
    <xf numFmtId="0" fontId="16" fillId="3" borderId="8" xfId="0" applyFont="1" applyFill="1" applyBorder="1" applyAlignment="1">
      <alignment horizontal="centerContinuous" vertical="center" wrapText="1"/>
    </xf>
    <xf numFmtId="0" fontId="16" fillId="3" borderId="9" xfId="0" applyFont="1" applyFill="1" applyBorder="1" applyAlignment="1">
      <alignment horizontal="centerContinuous" vertical="center" wrapText="1"/>
    </xf>
    <xf numFmtId="0" fontId="14" fillId="19" borderId="35" xfId="0" applyFont="1" applyFill="1" applyBorder="1" applyAlignment="1">
      <alignment horizontal="center" vertical="center"/>
    </xf>
    <xf numFmtId="169" fontId="14" fillId="19" borderId="20" xfId="3" applyNumberFormat="1" applyFont="1" applyFill="1" applyBorder="1" applyAlignment="1">
      <alignment horizontal="center" vertical="center"/>
    </xf>
    <xf numFmtId="169" fontId="14" fillId="19" borderId="17" xfId="3" applyNumberFormat="1" applyFont="1" applyFill="1" applyBorder="1" applyAlignment="1">
      <alignment horizontal="center" vertical="center"/>
    </xf>
    <xf numFmtId="166" fontId="24" fillId="18" borderId="30" xfId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9" fontId="14" fillId="19" borderId="17" xfId="3" applyNumberFormat="1" applyFont="1" applyFill="1" applyBorder="1" applyAlignment="1">
      <alignment vertical="center"/>
    </xf>
    <xf numFmtId="174" fontId="0" fillId="0" borderId="0" xfId="1" applyNumberFormat="1" applyFont="1" applyAlignment="1">
      <alignment vertical="center"/>
    </xf>
    <xf numFmtId="167" fontId="0" fillId="0" borderId="0" xfId="8" applyFont="1"/>
    <xf numFmtId="171" fontId="28" fillId="0" borderId="0" xfId="0" applyNumberFormat="1" applyFont="1"/>
    <xf numFmtId="171" fontId="26" fillId="0" borderId="0" xfId="0" applyNumberFormat="1" applyFont="1" applyAlignment="1">
      <alignment vertical="center"/>
    </xf>
    <xf numFmtId="169" fontId="14" fillId="0" borderId="0" xfId="0" applyNumberFormat="1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4" fillId="19" borderId="53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4" fillId="19" borderId="17" xfId="3" applyNumberFormat="1" applyFont="1" applyFill="1" applyBorder="1" applyAlignment="1">
      <alignment horizontal="right" vertical="center" indent="2"/>
    </xf>
    <xf numFmtId="0" fontId="14" fillId="19" borderId="4" xfId="0" applyFont="1" applyFill="1" applyBorder="1" applyAlignment="1">
      <alignment horizontal="left" vertical="center" indent="1"/>
    </xf>
    <xf numFmtId="0" fontId="13" fillId="0" borderId="3" xfId="0" applyFont="1" applyBorder="1" applyAlignment="1">
      <alignment horizontal="center" vertical="center"/>
    </xf>
    <xf numFmtId="0" fontId="51" fillId="0" borderId="0" xfId="0" applyFont="1"/>
    <xf numFmtId="0" fontId="13" fillId="0" borderId="1" xfId="0" applyFont="1" applyBorder="1" applyAlignment="1">
      <alignment horizontal="center" vertical="center"/>
    </xf>
    <xf numFmtId="0" fontId="23" fillId="51" borderId="95" xfId="0" applyFont="1" applyFill="1" applyBorder="1" applyAlignment="1">
      <alignment horizontal="center" vertical="center" wrapText="1"/>
    </xf>
    <xf numFmtId="0" fontId="52" fillId="51" borderId="96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0" borderId="71" xfId="0" applyFont="1" applyBorder="1" applyAlignment="1">
      <alignment horizontal="center" vertical="center"/>
    </xf>
    <xf numFmtId="0" fontId="55" fillId="0" borderId="97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0" fontId="23" fillId="51" borderId="96" xfId="0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91" xfId="0" applyNumberFormat="1" applyFont="1" applyBorder="1" applyAlignment="1">
      <alignment horizontal="center" vertical="center"/>
    </xf>
    <xf numFmtId="4" fontId="6" fillId="0" borderId="98" xfId="0" applyNumberFormat="1" applyFont="1" applyBorder="1" applyAlignment="1">
      <alignment horizontal="center" vertical="center"/>
    </xf>
    <xf numFmtId="4" fontId="6" fillId="0" borderId="93" xfId="0" applyNumberFormat="1" applyFont="1" applyBorder="1" applyAlignment="1">
      <alignment horizontal="center" vertical="center"/>
    </xf>
    <xf numFmtId="0" fontId="23" fillId="51" borderId="99" xfId="0" applyFont="1" applyFill="1" applyBorder="1" applyAlignment="1">
      <alignment horizontal="center" vertical="center"/>
    </xf>
    <xf numFmtId="170" fontId="6" fillId="0" borderId="21" xfId="0" applyNumberFormat="1" applyFont="1" applyBorder="1" applyAlignment="1">
      <alignment horizontal="center" vertical="center"/>
    </xf>
    <xf numFmtId="170" fontId="6" fillId="0" borderId="91" xfId="0" applyNumberFormat="1" applyFont="1" applyBorder="1" applyAlignment="1">
      <alignment horizontal="center" vertical="center"/>
    </xf>
    <xf numFmtId="170" fontId="6" fillId="0" borderId="98" xfId="0" applyNumberFormat="1" applyFont="1" applyBorder="1" applyAlignment="1">
      <alignment horizontal="center" vertical="center"/>
    </xf>
    <xf numFmtId="170" fontId="6" fillId="0" borderId="93" xfId="0" applyNumberFormat="1" applyFont="1" applyBorder="1" applyAlignment="1">
      <alignment horizontal="center" vertical="center"/>
    </xf>
    <xf numFmtId="175" fontId="0" fillId="0" borderId="0" xfId="8" applyNumberFormat="1" applyFont="1"/>
    <xf numFmtId="176" fontId="0" fillId="0" borderId="0" xfId="0" applyNumberFormat="1"/>
    <xf numFmtId="170" fontId="6" fillId="0" borderId="13" xfId="0" applyNumberFormat="1" applyFont="1" applyBorder="1" applyAlignment="1">
      <alignment horizontal="center" vertical="center"/>
    </xf>
    <xf numFmtId="170" fontId="6" fillId="0" borderId="92" xfId="0" applyNumberFormat="1" applyFont="1" applyBorder="1" applyAlignment="1">
      <alignment horizontal="center" vertical="center"/>
    </xf>
    <xf numFmtId="170" fontId="6" fillId="0" borderId="70" xfId="0" applyNumberFormat="1" applyFont="1" applyBorder="1" applyAlignment="1">
      <alignment horizontal="center" vertical="center"/>
    </xf>
    <xf numFmtId="170" fontId="6" fillId="0" borderId="8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172" fontId="24" fillId="0" borderId="82" xfId="8" applyNumberFormat="1" applyFont="1" applyBorder="1" applyAlignment="1">
      <alignment vertical="center"/>
    </xf>
    <xf numFmtId="172" fontId="24" fillId="0" borderId="104" xfId="8" applyNumberFormat="1" applyFont="1" applyBorder="1" applyAlignment="1">
      <alignment vertical="center"/>
    </xf>
    <xf numFmtId="172" fontId="24" fillId="0" borderId="32" xfId="8" applyNumberFormat="1" applyFont="1" applyBorder="1" applyAlignment="1">
      <alignment vertical="center"/>
    </xf>
    <xf numFmtId="172" fontId="24" fillId="0" borderId="37" xfId="8" applyNumberFormat="1" applyFont="1" applyBorder="1" applyAlignment="1">
      <alignment vertical="center"/>
    </xf>
    <xf numFmtId="169" fontId="24" fillId="0" borderId="105" xfId="0" applyNumberFormat="1" applyFont="1" applyBorder="1" applyAlignment="1">
      <alignment horizontal="center" vertical="center"/>
    </xf>
    <xf numFmtId="10" fontId="24" fillId="0" borderId="106" xfId="3" applyNumberFormat="1" applyFont="1" applyBorder="1" applyAlignment="1">
      <alignment horizontal="center" vertical="center"/>
    </xf>
    <xf numFmtId="10" fontId="24" fillId="0" borderId="38" xfId="3" applyNumberFormat="1" applyFont="1" applyBorder="1" applyAlignment="1">
      <alignment horizontal="center" vertical="center"/>
    </xf>
    <xf numFmtId="10" fontId="24" fillId="0" borderId="29" xfId="3" applyNumberFormat="1" applyFont="1" applyBorder="1" applyAlignment="1">
      <alignment horizontal="center" vertical="center"/>
    </xf>
    <xf numFmtId="0" fontId="23" fillId="52" borderId="16" xfId="0" applyFont="1" applyFill="1" applyBorder="1" applyAlignment="1">
      <alignment horizontal="center" vertical="center" wrapText="1"/>
    </xf>
    <xf numFmtId="0" fontId="23" fillId="52" borderId="51" xfId="0" applyFont="1" applyFill="1" applyBorder="1" applyAlignment="1">
      <alignment horizontal="center" vertical="center" wrapText="1"/>
    </xf>
    <xf numFmtId="0" fontId="23" fillId="53" borderId="100" xfId="0" applyFont="1" applyFill="1" applyBorder="1" applyAlignment="1">
      <alignment horizontal="centerContinuous" vertical="center" wrapText="1"/>
    </xf>
    <xf numFmtId="0" fontId="23" fillId="53" borderId="54" xfId="0" applyFont="1" applyFill="1" applyBorder="1" applyAlignment="1">
      <alignment horizontal="centerContinuous" vertical="center" wrapText="1"/>
    </xf>
    <xf numFmtId="0" fontId="23" fillId="53" borderId="55" xfId="0" applyFont="1" applyFill="1" applyBorder="1" applyAlignment="1">
      <alignment horizontal="centerContinuous" vertical="center" wrapText="1"/>
    </xf>
    <xf numFmtId="0" fontId="23" fillId="53" borderId="101" xfId="0" applyFont="1" applyFill="1" applyBorder="1" applyAlignment="1">
      <alignment horizontal="center" vertical="center" wrapText="1"/>
    </xf>
    <xf numFmtId="0" fontId="23" fillId="53" borderId="102" xfId="0" applyFont="1" applyFill="1" applyBorder="1" applyAlignment="1">
      <alignment horizontal="center" vertical="center" wrapText="1"/>
    </xf>
    <xf numFmtId="0" fontId="23" fillId="53" borderId="103" xfId="0" applyFont="1" applyFill="1" applyBorder="1" applyAlignment="1">
      <alignment horizontal="center" vertical="center" wrapText="1"/>
    </xf>
    <xf numFmtId="0" fontId="24" fillId="0" borderId="0" xfId="0" applyFont="1"/>
    <xf numFmtId="9" fontId="24" fillId="0" borderId="26" xfId="0" applyNumberFormat="1" applyFont="1" applyBorder="1" applyAlignment="1">
      <alignment horizontal="right" vertical="center" indent="1"/>
    </xf>
    <xf numFmtId="9" fontId="24" fillId="0" borderId="85" xfId="3" applyFont="1" applyBorder="1" applyAlignment="1">
      <alignment horizontal="right" vertical="center" indent="1"/>
    </xf>
    <xf numFmtId="9" fontId="24" fillId="0" borderId="28" xfId="3" applyFont="1" applyBorder="1" applyAlignment="1">
      <alignment horizontal="right" vertical="center" indent="1"/>
    </xf>
    <xf numFmtId="169" fontId="24" fillId="0" borderId="81" xfId="3" applyNumberFormat="1" applyFont="1" applyBorder="1" applyAlignment="1">
      <alignment horizontal="right" vertical="center" indent="1"/>
    </xf>
    <xf numFmtId="172" fontId="24" fillId="0" borderId="27" xfId="8" applyNumberFormat="1" applyFont="1" applyBorder="1" applyAlignment="1">
      <alignment vertical="center"/>
    </xf>
    <xf numFmtId="172" fontId="24" fillId="0" borderId="38" xfId="8" applyNumberFormat="1" applyFont="1" applyBorder="1" applyAlignment="1">
      <alignment vertical="center"/>
    </xf>
    <xf numFmtId="172" fontId="24" fillId="0" borderId="29" xfId="8" applyNumberFormat="1" applyFont="1" applyBorder="1" applyAlignment="1">
      <alignment vertical="center"/>
    </xf>
    <xf numFmtId="172" fontId="24" fillId="0" borderId="105" xfId="8" applyNumberFormat="1" applyFont="1" applyBorder="1" applyAlignment="1">
      <alignment vertical="center"/>
    </xf>
    <xf numFmtId="172" fontId="24" fillId="0" borderId="0" xfId="8" applyNumberFormat="1" applyFont="1" applyBorder="1" applyAlignment="1">
      <alignment vertical="center"/>
    </xf>
    <xf numFmtId="0" fontId="16" fillId="2" borderId="60" xfId="212" applyFont="1" applyFill="1" applyBorder="1" applyAlignment="1">
      <alignment horizontal="centerContinuous" vertical="center" wrapText="1"/>
    </xf>
    <xf numFmtId="0" fontId="16" fillId="2" borderId="39" xfId="212" applyFont="1" applyFill="1" applyBorder="1" applyAlignment="1">
      <alignment horizontal="centerContinuous" vertical="center" wrapText="1"/>
    </xf>
    <xf numFmtId="0" fontId="16" fillId="2" borderId="31" xfId="212" applyFont="1" applyFill="1" applyBorder="1" applyAlignment="1">
      <alignment horizontal="centerContinuous" vertical="center" wrapText="1"/>
    </xf>
    <xf numFmtId="0" fontId="33" fillId="51" borderId="6" xfId="0" applyFont="1" applyFill="1" applyBorder="1" applyAlignment="1">
      <alignment horizontal="centerContinuous" vertical="center" wrapText="1"/>
    </xf>
    <xf numFmtId="0" fontId="33" fillId="51" borderId="7" xfId="0" applyFont="1" applyFill="1" applyBorder="1" applyAlignment="1">
      <alignment horizontal="centerContinuous" vertical="center" wrapText="1"/>
    </xf>
    <xf numFmtId="0" fontId="33" fillId="51" borderId="5" xfId="0" applyFont="1" applyFill="1" applyBorder="1" applyAlignment="1">
      <alignment horizontal="centerContinuous" vertical="center" wrapText="1"/>
    </xf>
    <xf numFmtId="0" fontId="33" fillId="51" borderId="8" xfId="0" applyFont="1" applyFill="1" applyBorder="1" applyAlignment="1">
      <alignment horizontal="centerContinuous" vertical="center" wrapText="1"/>
    </xf>
    <xf numFmtId="0" fontId="33" fillId="51" borderId="9" xfId="0" applyFont="1" applyFill="1" applyBorder="1" applyAlignment="1">
      <alignment horizontal="centerContinuous" vertical="center" wrapText="1"/>
    </xf>
    <xf numFmtId="0" fontId="33" fillId="51" borderId="40" xfId="0" applyFont="1" applyFill="1" applyBorder="1" applyAlignment="1">
      <alignment horizontal="centerContinuous" vertical="center" wrapText="1"/>
    </xf>
    <xf numFmtId="169" fontId="5" fillId="0" borderId="18" xfId="3" applyNumberFormat="1" applyFont="1" applyFill="1" applyBorder="1" applyAlignment="1">
      <alignment vertical="center"/>
    </xf>
    <xf numFmtId="169" fontId="5" fillId="0" borderId="14" xfId="3" applyNumberFormat="1" applyFont="1" applyFill="1" applyBorder="1" applyAlignment="1">
      <alignment vertical="center"/>
    </xf>
    <xf numFmtId="172" fontId="5" fillId="0" borderId="33" xfId="8" applyNumberFormat="1" applyFont="1" applyFill="1" applyBorder="1" applyAlignment="1">
      <alignment horizontal="center" vertical="center"/>
    </xf>
    <xf numFmtId="172" fontId="5" fillId="0" borderId="18" xfId="8" applyNumberFormat="1" applyFont="1" applyFill="1" applyBorder="1" applyAlignment="1">
      <alignment horizontal="center" vertical="center"/>
    </xf>
    <xf numFmtId="172" fontId="5" fillId="0" borderId="14" xfId="8" applyNumberFormat="1" applyFont="1" applyFill="1" applyBorder="1" applyAlignment="1">
      <alignment horizontal="center" vertical="center"/>
    </xf>
    <xf numFmtId="169" fontId="5" fillId="0" borderId="19" xfId="3" applyNumberFormat="1" applyFont="1" applyFill="1" applyBorder="1" applyAlignment="1">
      <alignment vertical="center"/>
    </xf>
    <xf numFmtId="169" fontId="5" fillId="0" borderId="15" xfId="3" applyNumberFormat="1" applyFont="1" applyFill="1" applyBorder="1" applyAlignment="1">
      <alignment vertical="center"/>
    </xf>
    <xf numFmtId="172" fontId="5" fillId="0" borderId="34" xfId="8" applyNumberFormat="1" applyFont="1" applyFill="1" applyBorder="1" applyAlignment="1">
      <alignment horizontal="center" vertical="center"/>
    </xf>
    <xf numFmtId="172" fontId="5" fillId="0" borderId="19" xfId="8" applyNumberFormat="1" applyFont="1" applyFill="1" applyBorder="1" applyAlignment="1">
      <alignment horizontal="center" vertical="center"/>
    </xf>
    <xf numFmtId="172" fontId="5" fillId="0" borderId="15" xfId="8" applyNumberFormat="1" applyFont="1" applyFill="1" applyBorder="1" applyAlignment="1">
      <alignment horizontal="center" vertical="center"/>
    </xf>
    <xf numFmtId="169" fontId="5" fillId="0" borderId="0" xfId="3" applyNumberFormat="1" applyFont="1"/>
    <xf numFmtId="172" fontId="5" fillId="0" borderId="0" xfId="8" applyNumberFormat="1" applyFont="1" applyAlignment="1">
      <alignment horizontal="center"/>
    </xf>
    <xf numFmtId="169" fontId="14" fillId="19" borderId="20" xfId="3" applyNumberFormat="1" applyFont="1" applyFill="1" applyBorder="1" applyAlignment="1">
      <alignment vertical="center"/>
    </xf>
    <xf numFmtId="172" fontId="14" fillId="19" borderId="35" xfId="8" applyNumberFormat="1" applyFont="1" applyFill="1" applyBorder="1" applyAlignment="1">
      <alignment horizontal="center" vertical="center"/>
    </xf>
    <xf numFmtId="172" fontId="14" fillId="19" borderId="20" xfId="8" applyNumberFormat="1" applyFont="1" applyFill="1" applyBorder="1" applyAlignment="1">
      <alignment horizontal="center" vertical="center"/>
    </xf>
    <xf numFmtId="172" fontId="14" fillId="19" borderId="17" xfId="8" applyNumberFormat="1" applyFont="1" applyFill="1" applyBorder="1" applyAlignment="1">
      <alignment horizontal="center" vertical="center"/>
    </xf>
    <xf numFmtId="0" fontId="23" fillId="52" borderId="68" xfId="0" applyFont="1" applyFill="1" applyBorder="1" applyAlignment="1">
      <alignment horizontal="center" vertical="center" wrapText="1"/>
    </xf>
    <xf numFmtId="0" fontId="23" fillId="53" borderId="107" xfId="0" applyFont="1" applyFill="1" applyBorder="1" applyAlignment="1">
      <alignment horizontal="center" vertical="center" wrapText="1"/>
    </xf>
    <xf numFmtId="0" fontId="23" fillId="53" borderId="90" xfId="0" applyFont="1" applyFill="1" applyBorder="1" applyAlignment="1">
      <alignment horizontal="center" vertical="center" wrapText="1"/>
    </xf>
    <xf numFmtId="0" fontId="23" fillId="53" borderId="108" xfId="0" applyFont="1" applyFill="1" applyBorder="1" applyAlignment="1">
      <alignment horizontal="center" vertical="center" wrapText="1"/>
    </xf>
    <xf numFmtId="0" fontId="28" fillId="0" borderId="68" xfId="0" applyFont="1" applyBorder="1" applyAlignment="1">
      <alignment vertical="center"/>
    </xf>
    <xf numFmtId="169" fontId="5" fillId="0" borderId="11" xfId="3" applyNumberFormat="1" applyFont="1" applyFill="1" applyBorder="1" applyAlignment="1">
      <alignment vertical="center"/>
    </xf>
    <xf numFmtId="169" fontId="5" fillId="0" borderId="12" xfId="3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33" fillId="51" borderId="112" xfId="0" applyFont="1" applyFill="1" applyBorder="1" applyAlignment="1">
      <alignment horizontal="centerContinuous" vertical="center" wrapText="1"/>
    </xf>
    <xf numFmtId="0" fontId="33" fillId="51" borderId="113" xfId="0" applyFont="1" applyFill="1" applyBorder="1" applyAlignment="1">
      <alignment horizontal="centerContinuous" vertical="center" wrapText="1"/>
    </xf>
    <xf numFmtId="169" fontId="14" fillId="19" borderId="10" xfId="3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172" fontId="23" fillId="51" borderId="66" xfId="8" applyNumberFormat="1" applyFont="1" applyFill="1" applyBorder="1" applyAlignment="1">
      <alignment horizontal="center" vertical="center"/>
    </xf>
    <xf numFmtId="172" fontId="23" fillId="51" borderId="96" xfId="8" applyNumberFormat="1" applyFont="1" applyFill="1" applyBorder="1" applyAlignment="1">
      <alignment horizontal="center" vertical="center"/>
    </xf>
    <xf numFmtId="172" fontId="23" fillId="51" borderId="99" xfId="8" applyNumberFormat="1" applyFont="1" applyFill="1" applyBorder="1" applyAlignment="1">
      <alignment horizontal="center" vertical="center"/>
    </xf>
    <xf numFmtId="172" fontId="5" fillId="0" borderId="1" xfId="8" applyNumberFormat="1" applyFont="1" applyBorder="1" applyAlignment="1">
      <alignment horizontal="center" vertical="center"/>
    </xf>
    <xf numFmtId="172" fontId="5" fillId="0" borderId="21" xfId="8" applyNumberFormat="1" applyFont="1" applyBorder="1" applyAlignment="1">
      <alignment horizontal="center" vertical="center"/>
    </xf>
    <xf numFmtId="172" fontId="5" fillId="0" borderId="13" xfId="8" applyNumberFormat="1" applyFont="1" applyBorder="1" applyAlignment="1">
      <alignment horizontal="center" vertical="center"/>
    </xf>
    <xf numFmtId="172" fontId="5" fillId="0" borderId="58" xfId="8" applyNumberFormat="1" applyFont="1" applyBorder="1" applyAlignment="1">
      <alignment horizontal="center" vertical="center"/>
    </xf>
    <xf numFmtId="172" fontId="5" fillId="0" borderId="91" xfId="8" applyNumberFormat="1" applyFont="1" applyBorder="1" applyAlignment="1">
      <alignment horizontal="center" vertical="center"/>
    </xf>
    <xf numFmtId="172" fontId="5" fillId="0" borderId="92" xfId="8" applyNumberFormat="1" applyFont="1" applyBorder="1" applyAlignment="1">
      <alignment horizontal="center" vertical="center"/>
    </xf>
    <xf numFmtId="172" fontId="5" fillId="0" borderId="69" xfId="8" applyNumberFormat="1" applyFont="1" applyBorder="1" applyAlignment="1">
      <alignment horizontal="center" vertical="center"/>
    </xf>
    <xf numFmtId="172" fontId="5" fillId="0" borderId="98" xfId="8" applyNumberFormat="1" applyFont="1" applyBorder="1" applyAlignment="1">
      <alignment horizontal="center" vertical="center"/>
    </xf>
    <xf numFmtId="172" fontId="5" fillId="0" borderId="70" xfId="8" applyNumberFormat="1" applyFont="1" applyBorder="1" applyAlignment="1">
      <alignment horizontal="center" vertical="center"/>
    </xf>
    <xf numFmtId="172" fontId="5" fillId="0" borderId="59" xfId="8" applyNumberFormat="1" applyFont="1" applyBorder="1" applyAlignment="1">
      <alignment horizontal="center" vertical="center"/>
    </xf>
    <xf numFmtId="172" fontId="5" fillId="0" borderId="93" xfId="8" applyNumberFormat="1" applyFont="1" applyBorder="1" applyAlignment="1">
      <alignment horizontal="center" vertical="center"/>
    </xf>
    <xf numFmtId="172" fontId="5" fillId="0" borderId="83" xfId="8" applyNumberFormat="1" applyFont="1" applyBorder="1" applyAlignment="1">
      <alignment horizontal="center" vertical="center"/>
    </xf>
    <xf numFmtId="172" fontId="23" fillId="51" borderId="54" xfId="8" applyNumberFormat="1" applyFont="1" applyFill="1" applyBorder="1" applyAlignment="1">
      <alignment horizontal="centerContinuous" vertical="center" wrapText="1"/>
    </xf>
    <xf numFmtId="172" fontId="23" fillId="51" borderId="55" xfId="8" applyNumberFormat="1" applyFont="1" applyFill="1" applyBorder="1" applyAlignment="1">
      <alignment horizontal="centerContinuous" vertical="center" wrapText="1"/>
    </xf>
    <xf numFmtId="172" fontId="23" fillId="51" borderId="115" xfId="8" applyNumberFormat="1" applyFont="1" applyFill="1" applyBorder="1" applyAlignment="1">
      <alignment horizontal="center" vertical="center"/>
    </xf>
    <xf numFmtId="172" fontId="23" fillId="51" borderId="116" xfId="8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2" fontId="5" fillId="0" borderId="0" xfId="8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2" fontId="5" fillId="0" borderId="21" xfId="8" applyNumberFormat="1" applyFont="1" applyBorder="1" applyAlignment="1">
      <alignment vertical="center"/>
    </xf>
    <xf numFmtId="172" fontId="5" fillId="0" borderId="13" xfId="8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2" fontId="5" fillId="0" borderId="22" xfId="8" applyNumberFormat="1" applyFont="1" applyBorder="1" applyAlignment="1">
      <alignment vertical="center"/>
    </xf>
    <xf numFmtId="172" fontId="5" fillId="0" borderId="14" xfId="8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2" fontId="5" fillId="0" borderId="23" xfId="8" applyNumberFormat="1" applyFont="1" applyBorder="1" applyAlignment="1">
      <alignment vertical="center"/>
    </xf>
    <xf numFmtId="172" fontId="5" fillId="0" borderId="15" xfId="8" applyNumberFormat="1" applyFont="1" applyBorder="1" applyAlignment="1">
      <alignment vertical="center"/>
    </xf>
    <xf numFmtId="0" fontId="23" fillId="2" borderId="35" xfId="0" applyFont="1" applyFill="1" applyBorder="1" applyAlignment="1">
      <alignment horizontal="centerContinuous" vertical="center"/>
    </xf>
    <xf numFmtId="0" fontId="23" fillId="2" borderId="10" xfId="0" applyFont="1" applyFill="1" applyBorder="1" applyAlignment="1">
      <alignment horizontal="centerContinuous" vertical="center"/>
    </xf>
    <xf numFmtId="0" fontId="23" fillId="2" borderId="36" xfId="0" applyFont="1" applyFill="1" applyBorder="1" applyAlignment="1">
      <alignment horizontal="centerContinuous" vertical="center"/>
    </xf>
    <xf numFmtId="172" fontId="23" fillId="51" borderId="56" xfId="8" applyNumberFormat="1" applyFont="1" applyFill="1" applyBorder="1" applyAlignment="1">
      <alignment horizontal="centerContinuous" vertical="center" wrapText="1"/>
    </xf>
    <xf numFmtId="172" fontId="23" fillId="51" borderId="114" xfId="8" applyNumberFormat="1" applyFont="1" applyFill="1" applyBorder="1" applyAlignment="1">
      <alignment horizontal="center" vertical="center"/>
    </xf>
    <xf numFmtId="172" fontId="5" fillId="0" borderId="1" xfId="8" applyNumberFormat="1" applyFont="1" applyBorder="1" applyAlignment="1">
      <alignment vertical="center"/>
    </xf>
    <xf numFmtId="172" fontId="5" fillId="0" borderId="2" xfId="8" applyNumberFormat="1" applyFont="1" applyBorder="1" applyAlignment="1">
      <alignment vertical="center"/>
    </xf>
    <xf numFmtId="172" fontId="5" fillId="0" borderId="3" xfId="8" applyNumberFormat="1" applyFont="1" applyBorder="1" applyAlignment="1">
      <alignment vertical="center"/>
    </xf>
    <xf numFmtId="0" fontId="13" fillId="0" borderId="21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69" fontId="13" fillId="0" borderId="0" xfId="0" applyNumberFormat="1" applyFont="1" applyAlignment="1">
      <alignment vertical="center"/>
    </xf>
    <xf numFmtId="171" fontId="26" fillId="0" borderId="0" xfId="198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178" fontId="0" fillId="0" borderId="0" xfId="0" applyNumberFormat="1"/>
    <xf numFmtId="179" fontId="0" fillId="0" borderId="21" xfId="8" applyNumberFormat="1" applyFont="1" applyBorder="1"/>
    <xf numFmtId="179" fontId="0" fillId="0" borderId="22" xfId="8" applyNumberFormat="1" applyFont="1" applyBorder="1"/>
    <xf numFmtId="179" fontId="0" fillId="0" borderId="1" xfId="8" applyNumberFormat="1" applyFont="1" applyBorder="1"/>
    <xf numFmtId="179" fontId="0" fillId="0" borderId="13" xfId="8" applyNumberFormat="1" applyFont="1" applyBorder="1"/>
    <xf numFmtId="179" fontId="0" fillId="0" borderId="2" xfId="8" applyNumberFormat="1" applyFont="1" applyBorder="1"/>
    <xf numFmtId="179" fontId="0" fillId="0" borderId="14" xfId="8" applyNumberFormat="1" applyFont="1" applyBorder="1"/>
    <xf numFmtId="179" fontId="0" fillId="0" borderId="3" xfId="8" applyNumberFormat="1" applyFont="1" applyBorder="1"/>
    <xf numFmtId="179" fontId="0" fillId="0" borderId="23" xfId="8" applyNumberFormat="1" applyFont="1" applyBorder="1"/>
    <xf numFmtId="179" fontId="0" fillId="0" borderId="15" xfId="8" applyNumberFormat="1" applyFont="1" applyBorder="1"/>
    <xf numFmtId="177" fontId="5" fillId="0" borderId="21" xfId="8" applyNumberFormat="1" applyFont="1" applyBorder="1" applyAlignment="1">
      <alignment vertical="center"/>
    </xf>
    <xf numFmtId="177" fontId="5" fillId="0" borderId="13" xfId="8" applyNumberFormat="1" applyFont="1" applyBorder="1" applyAlignment="1">
      <alignment vertical="center"/>
    </xf>
    <xf numFmtId="177" fontId="5" fillId="0" borderId="22" xfId="8" applyNumberFormat="1" applyFont="1" applyBorder="1" applyAlignment="1">
      <alignment vertical="center"/>
    </xf>
    <xf numFmtId="177" fontId="5" fillId="0" borderId="14" xfId="8" applyNumberFormat="1" applyFont="1" applyBorder="1" applyAlignment="1">
      <alignment vertical="center"/>
    </xf>
    <xf numFmtId="177" fontId="5" fillId="0" borderId="23" xfId="8" applyNumberFormat="1" applyFont="1" applyBorder="1" applyAlignment="1">
      <alignment vertical="center"/>
    </xf>
    <xf numFmtId="177" fontId="5" fillId="0" borderId="15" xfId="8" applyNumberFormat="1" applyFont="1" applyBorder="1" applyAlignment="1">
      <alignment vertical="center"/>
    </xf>
    <xf numFmtId="180" fontId="5" fillId="0" borderId="1" xfId="8" applyNumberFormat="1" applyFont="1" applyBorder="1" applyAlignment="1">
      <alignment vertical="center"/>
    </xf>
    <xf numFmtId="180" fontId="5" fillId="0" borderId="21" xfId="8" applyNumberFormat="1" applyFont="1" applyBorder="1" applyAlignment="1">
      <alignment vertical="center"/>
    </xf>
    <xf numFmtId="180" fontId="5" fillId="0" borderId="13" xfId="8" applyNumberFormat="1" applyFont="1" applyBorder="1" applyAlignment="1">
      <alignment vertical="center"/>
    </xf>
    <xf numFmtId="180" fontId="5" fillId="0" borderId="2" xfId="8" applyNumberFormat="1" applyFont="1" applyBorder="1" applyAlignment="1">
      <alignment vertical="center"/>
    </xf>
    <xf numFmtId="180" fontId="5" fillId="0" borderId="22" xfId="8" applyNumberFormat="1" applyFont="1" applyBorder="1" applyAlignment="1">
      <alignment vertical="center"/>
    </xf>
    <xf numFmtId="180" fontId="5" fillId="0" borderId="14" xfId="8" applyNumberFormat="1" applyFont="1" applyBorder="1" applyAlignment="1">
      <alignment vertical="center"/>
    </xf>
    <xf numFmtId="180" fontId="5" fillId="0" borderId="3" xfId="8" applyNumberFormat="1" applyFont="1" applyBorder="1" applyAlignment="1">
      <alignment vertical="center"/>
    </xf>
    <xf numFmtId="180" fontId="5" fillId="0" borderId="23" xfId="8" applyNumberFormat="1" applyFont="1" applyBorder="1" applyAlignment="1">
      <alignment vertical="center"/>
    </xf>
    <xf numFmtId="180" fontId="5" fillId="0" borderId="15" xfId="8" applyNumberFormat="1" applyFont="1" applyBorder="1" applyAlignment="1">
      <alignment vertical="center"/>
    </xf>
    <xf numFmtId="172" fontId="0" fillId="0" borderId="0" xfId="0" applyNumberFormat="1"/>
    <xf numFmtId="0" fontId="51" fillId="0" borderId="0" xfId="0" applyFont="1" applyAlignment="1">
      <alignment vertical="center"/>
    </xf>
    <xf numFmtId="0" fontId="23" fillId="2" borderId="30" xfId="0" applyFont="1" applyFill="1" applyBorder="1" applyAlignment="1">
      <alignment horizontal="left" vertical="center" indent="1"/>
    </xf>
    <xf numFmtId="0" fontId="18" fillId="2" borderId="10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5" fillId="0" borderId="119" xfId="0" applyFont="1" applyBorder="1" applyAlignment="1">
      <alignment horizontal="center" vertical="center"/>
    </xf>
    <xf numFmtId="177" fontId="5" fillId="0" borderId="120" xfId="8" applyNumberFormat="1" applyFont="1" applyBorder="1" applyAlignment="1">
      <alignment vertical="center"/>
    </xf>
    <xf numFmtId="177" fontId="5" fillId="0" borderId="121" xfId="8" applyNumberFormat="1" applyFont="1" applyBorder="1" applyAlignment="1">
      <alignment vertical="center"/>
    </xf>
    <xf numFmtId="0" fontId="5" fillId="0" borderId="122" xfId="0" applyFont="1" applyBorder="1" applyAlignment="1">
      <alignment horizontal="center" vertical="center"/>
    </xf>
    <xf numFmtId="177" fontId="5" fillId="0" borderId="123" xfId="8" applyNumberFormat="1" applyFont="1" applyBorder="1" applyAlignment="1">
      <alignment vertical="center"/>
    </xf>
    <xf numFmtId="177" fontId="5" fillId="0" borderId="124" xfId="8" applyNumberFormat="1" applyFont="1" applyBorder="1" applyAlignment="1">
      <alignment vertical="center"/>
    </xf>
    <xf numFmtId="0" fontId="4" fillId="0" borderId="125" xfId="0" applyFont="1" applyBorder="1" applyAlignment="1">
      <alignment horizontal="center" vertical="center"/>
    </xf>
    <xf numFmtId="177" fontId="5" fillId="0" borderId="126" xfId="8" applyNumberFormat="1" applyFont="1" applyBorder="1" applyAlignment="1">
      <alignment vertical="center"/>
    </xf>
    <xf numFmtId="177" fontId="5" fillId="0" borderId="127" xfId="8" applyNumberFormat="1" applyFont="1" applyBorder="1" applyAlignment="1">
      <alignment vertical="center"/>
    </xf>
    <xf numFmtId="180" fontId="0" fillId="0" borderId="98" xfId="0" applyNumberFormat="1" applyBorder="1"/>
    <xf numFmtId="180" fontId="0" fillId="0" borderId="22" xfId="0" applyNumberFormat="1" applyBorder="1"/>
    <xf numFmtId="180" fontId="0" fillId="0" borderId="70" xfId="0" applyNumberFormat="1" applyBorder="1"/>
    <xf numFmtId="180" fontId="0" fillId="0" borderId="2" xfId="0" applyNumberFormat="1" applyBorder="1"/>
    <xf numFmtId="180" fontId="0" fillId="0" borderId="14" xfId="0" applyNumberFormat="1" applyBorder="1"/>
    <xf numFmtId="180" fontId="0" fillId="0" borderId="3" xfId="0" applyNumberFormat="1" applyBorder="1"/>
    <xf numFmtId="180" fontId="0" fillId="0" borderId="23" xfId="0" applyNumberFormat="1" applyBorder="1"/>
    <xf numFmtId="181" fontId="0" fillId="0" borderId="0" xfId="0" applyNumberFormat="1"/>
    <xf numFmtId="172" fontId="23" fillId="51" borderId="115" xfId="8" applyNumberFormat="1" applyFont="1" applyFill="1" applyBorder="1" applyAlignment="1">
      <alignment horizontal="center" vertical="center" wrapText="1"/>
    </xf>
    <xf numFmtId="181" fontId="0" fillId="0" borderId="120" xfId="8" applyNumberFormat="1" applyFont="1" applyBorder="1"/>
    <xf numFmtId="181" fontId="0" fillId="0" borderId="120" xfId="0" applyNumberFormat="1" applyBorder="1"/>
    <xf numFmtId="181" fontId="0" fillId="0" borderId="123" xfId="8" applyNumberFormat="1" applyFont="1" applyBorder="1"/>
    <xf numFmtId="181" fontId="0" fillId="0" borderId="123" xfId="0" applyNumberFormat="1" applyBorder="1"/>
    <xf numFmtId="169" fontId="0" fillId="0" borderId="121" xfId="3" applyNumberFormat="1" applyFont="1" applyBorder="1" applyAlignment="1">
      <alignment horizontal="right" indent="1"/>
    </xf>
    <xf numFmtId="169" fontId="0" fillId="0" borderId="124" xfId="3" applyNumberFormat="1" applyFont="1" applyBorder="1" applyAlignment="1">
      <alignment horizontal="right" indent="1"/>
    </xf>
    <xf numFmtId="181" fontId="0" fillId="0" borderId="126" xfId="8" applyNumberFormat="1" applyFont="1" applyBorder="1"/>
    <xf numFmtId="181" fontId="0" fillId="0" borderId="126" xfId="0" applyNumberFormat="1" applyBorder="1"/>
    <xf numFmtId="169" fontId="0" fillId="0" borderId="127" xfId="3" applyNumberFormat="1" applyFont="1" applyBorder="1" applyAlignment="1">
      <alignment horizontal="right" indent="1"/>
    </xf>
    <xf numFmtId="172" fontId="5" fillId="19" borderId="23" xfId="8" applyNumberFormat="1" applyFont="1" applyFill="1" applyBorder="1" applyAlignment="1">
      <alignment vertical="center"/>
    </xf>
    <xf numFmtId="172" fontId="5" fillId="19" borderId="15" xfId="8" applyNumberFormat="1" applyFont="1" applyFill="1" applyBorder="1" applyAlignment="1">
      <alignment vertical="center"/>
    </xf>
    <xf numFmtId="0" fontId="5" fillId="19" borderId="3" xfId="0" applyFont="1" applyFill="1" applyBorder="1" applyAlignment="1">
      <alignment horizontal="center" vertical="center"/>
    </xf>
    <xf numFmtId="172" fontId="5" fillId="19" borderId="3" xfId="8" applyNumberFormat="1" applyFont="1" applyFill="1" applyBorder="1" applyAlignment="1">
      <alignment vertical="center"/>
    </xf>
    <xf numFmtId="180" fontId="5" fillId="19" borderId="3" xfId="8" applyNumberFormat="1" applyFont="1" applyFill="1" applyBorder="1" applyAlignment="1">
      <alignment vertical="center"/>
    </xf>
    <xf numFmtId="180" fontId="5" fillId="19" borderId="23" xfId="8" applyNumberFormat="1" applyFont="1" applyFill="1" applyBorder="1" applyAlignment="1">
      <alignment vertical="center"/>
    </xf>
    <xf numFmtId="180" fontId="5" fillId="19" borderId="15" xfId="8" applyNumberFormat="1" applyFont="1" applyFill="1" applyBorder="1" applyAlignment="1">
      <alignment vertical="center"/>
    </xf>
    <xf numFmtId="177" fontId="5" fillId="19" borderId="23" xfId="8" applyNumberFormat="1" applyFont="1" applyFill="1" applyBorder="1" applyAlignment="1">
      <alignment vertical="center"/>
    </xf>
    <xf numFmtId="177" fontId="5" fillId="19" borderId="15" xfId="8" applyNumberFormat="1" applyFont="1" applyFill="1" applyBorder="1" applyAlignment="1">
      <alignment vertical="center"/>
    </xf>
    <xf numFmtId="0" fontId="4" fillId="19" borderId="125" xfId="0" applyFont="1" applyFill="1" applyBorder="1" applyAlignment="1">
      <alignment horizontal="center" vertical="center"/>
    </xf>
    <xf numFmtId="177" fontId="5" fillId="19" borderId="126" xfId="8" applyNumberFormat="1" applyFont="1" applyFill="1" applyBorder="1" applyAlignment="1">
      <alignment vertical="center"/>
    </xf>
    <xf numFmtId="177" fontId="5" fillId="19" borderId="127" xfId="8" applyNumberFormat="1" applyFont="1" applyFill="1" applyBorder="1" applyAlignment="1">
      <alignment vertical="center"/>
    </xf>
    <xf numFmtId="180" fontId="0" fillId="19" borderId="3" xfId="0" applyNumberFormat="1" applyFill="1" applyBorder="1"/>
    <xf numFmtId="180" fontId="0" fillId="19" borderId="23" xfId="0" applyNumberFormat="1" applyFill="1" applyBorder="1"/>
    <xf numFmtId="180" fontId="0" fillId="19" borderId="15" xfId="0" applyNumberFormat="1" applyFill="1" applyBorder="1"/>
    <xf numFmtId="179" fontId="0" fillId="19" borderId="23" xfId="8" applyNumberFormat="1" applyFont="1" applyFill="1" applyBorder="1"/>
    <xf numFmtId="179" fontId="0" fillId="19" borderId="15" xfId="8" applyNumberFormat="1" applyFont="1" applyFill="1" applyBorder="1"/>
    <xf numFmtId="179" fontId="0" fillId="19" borderId="3" xfId="8" applyNumberFormat="1" applyFont="1" applyFill="1" applyBorder="1"/>
    <xf numFmtId="181" fontId="0" fillId="19" borderId="126" xfId="8" applyNumberFormat="1" applyFont="1" applyFill="1" applyBorder="1"/>
    <xf numFmtId="181" fontId="0" fillId="19" borderId="126" xfId="0" applyNumberFormat="1" applyFill="1" applyBorder="1"/>
    <xf numFmtId="169" fontId="0" fillId="19" borderId="127" xfId="3" applyNumberFormat="1" applyFont="1" applyFill="1" applyBorder="1" applyAlignment="1">
      <alignment horizontal="right" indent="1"/>
    </xf>
    <xf numFmtId="0" fontId="14" fillId="0" borderId="0" xfId="0" applyFont="1" applyAlignment="1">
      <alignment horizontal="left" vertical="center" indent="1"/>
    </xf>
    <xf numFmtId="181" fontId="14" fillId="0" borderId="0" xfId="8" applyNumberFormat="1" applyFont="1" applyBorder="1" applyAlignment="1">
      <alignment vertical="center"/>
    </xf>
    <xf numFmtId="181" fontId="14" fillId="0" borderId="0" xfId="0" applyNumberFormat="1" applyFont="1" applyAlignment="1">
      <alignment vertical="center"/>
    </xf>
    <xf numFmtId="169" fontId="14" fillId="0" borderId="0" xfId="3" applyNumberFormat="1" applyFont="1" applyBorder="1" applyAlignment="1">
      <alignment horizontal="right" vertical="center" indent="1"/>
    </xf>
    <xf numFmtId="172" fontId="5" fillId="0" borderId="23" xfId="8" applyNumberFormat="1" applyFont="1" applyFill="1" applyBorder="1" applyAlignment="1">
      <alignment vertical="center"/>
    </xf>
    <xf numFmtId="172" fontId="5" fillId="0" borderId="15" xfId="8" applyNumberFormat="1" applyFont="1" applyFill="1" applyBorder="1" applyAlignment="1">
      <alignment vertical="center"/>
    </xf>
    <xf numFmtId="180" fontId="5" fillId="0" borderId="23" xfId="8" applyNumberFormat="1" applyFont="1" applyFill="1" applyBorder="1" applyAlignment="1">
      <alignment vertical="center"/>
    </xf>
    <xf numFmtId="180" fontId="5" fillId="0" borderId="15" xfId="8" applyNumberFormat="1" applyFont="1" applyFill="1" applyBorder="1" applyAlignment="1">
      <alignment vertical="center"/>
    </xf>
    <xf numFmtId="172" fontId="5" fillId="0" borderId="52" xfId="8" applyNumberFormat="1" applyFont="1" applyBorder="1" applyAlignment="1">
      <alignment vertical="center"/>
    </xf>
    <xf numFmtId="172" fontId="5" fillId="0" borderId="41" xfId="8" applyNumberFormat="1" applyFont="1" applyBorder="1" applyAlignment="1">
      <alignment vertical="center"/>
    </xf>
    <xf numFmtId="172" fontId="5" fillId="0" borderId="42" xfId="8" applyNumberFormat="1" applyFont="1" applyFill="1" applyBorder="1" applyAlignment="1">
      <alignment vertical="center"/>
    </xf>
    <xf numFmtId="180" fontId="5" fillId="0" borderId="52" xfId="8" applyNumberFormat="1" applyFont="1" applyBorder="1" applyAlignment="1">
      <alignment vertical="center"/>
    </xf>
    <xf numFmtId="180" fontId="5" fillId="0" borderId="41" xfId="8" applyNumberFormat="1" applyFont="1" applyBorder="1" applyAlignment="1">
      <alignment vertical="center"/>
    </xf>
    <xf numFmtId="179" fontId="0" fillId="0" borderId="23" xfId="8" applyNumberFormat="1" applyFont="1" applyFill="1" applyBorder="1"/>
    <xf numFmtId="179" fontId="0" fillId="0" borderId="15" xfId="8" applyNumberFormat="1" applyFont="1" applyFill="1" applyBorder="1"/>
    <xf numFmtId="179" fontId="0" fillId="0" borderId="3" xfId="8" applyNumberFormat="1" applyFont="1" applyFill="1" applyBorder="1"/>
    <xf numFmtId="175" fontId="0" fillId="0" borderId="0" xfId="0" applyNumberFormat="1"/>
    <xf numFmtId="181" fontId="0" fillId="0" borderId="0" xfId="8" applyNumberFormat="1" applyFont="1"/>
    <xf numFmtId="167" fontId="0" fillId="0" borderId="0" xfId="0" applyNumberFormat="1"/>
    <xf numFmtId="172" fontId="3" fillId="0" borderId="0" xfId="8" applyNumberFormat="1" applyFont="1" applyBorder="1" applyAlignment="1">
      <alignment vertical="center"/>
    </xf>
    <xf numFmtId="182" fontId="0" fillId="0" borderId="0" xfId="0" applyNumberFormat="1"/>
    <xf numFmtId="0" fontId="33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9" fontId="0" fillId="0" borderId="0" xfId="3" applyNumberFormat="1" applyFont="1"/>
    <xf numFmtId="10" fontId="0" fillId="0" borderId="0" xfId="3" applyNumberFormat="1" applyFont="1"/>
    <xf numFmtId="169" fontId="0" fillId="0" borderId="0" xfId="3" applyNumberFormat="1" applyFont="1" applyFill="1" applyBorder="1" applyAlignment="1">
      <alignment horizontal="right" indent="1"/>
    </xf>
    <xf numFmtId="169" fontId="0" fillId="0" borderId="0" xfId="3" applyNumberFormat="1" applyFont="1" applyAlignment="1">
      <alignment vertical="center"/>
    </xf>
    <xf numFmtId="172" fontId="5" fillId="0" borderId="0" xfId="0" applyNumberFormat="1" applyFont="1"/>
    <xf numFmtId="169" fontId="0" fillId="0" borderId="130" xfId="3" applyNumberFormat="1" applyFont="1" applyBorder="1" applyAlignment="1">
      <alignment vertical="center"/>
    </xf>
    <xf numFmtId="169" fontId="0" fillId="0" borderId="18" xfId="3" applyNumberFormat="1" applyFont="1" applyBorder="1" applyAlignment="1">
      <alignment vertical="center"/>
    </xf>
    <xf numFmtId="0" fontId="0" fillId="0" borderId="130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1" fontId="0" fillId="0" borderId="0" xfId="8" applyNumberFormat="1" applyFont="1" applyAlignment="1">
      <alignment vertical="center"/>
    </xf>
    <xf numFmtId="184" fontId="0" fillId="0" borderId="0" xfId="0" applyNumberFormat="1" applyAlignment="1">
      <alignment vertical="center"/>
    </xf>
    <xf numFmtId="185" fontId="0" fillId="0" borderId="0" xfId="8" applyNumberFormat="1" applyFont="1" applyAlignment="1">
      <alignment vertical="center"/>
    </xf>
    <xf numFmtId="169" fontId="14" fillId="0" borderId="0" xfId="3" applyNumberFormat="1" applyFont="1" applyAlignment="1">
      <alignment vertical="center"/>
    </xf>
    <xf numFmtId="186" fontId="0" fillId="0" borderId="0" xfId="0" applyNumberFormat="1"/>
    <xf numFmtId="172" fontId="23" fillId="51" borderId="116" xfId="8" applyNumberFormat="1" applyFont="1" applyFill="1" applyBorder="1" applyAlignment="1">
      <alignment horizontal="center" vertical="center" wrapText="1"/>
    </xf>
    <xf numFmtId="0" fontId="2" fillId="0" borderId="0" xfId="313" applyFont="1"/>
    <xf numFmtId="172" fontId="23" fillId="51" borderId="54" xfId="315" applyNumberFormat="1" applyFont="1" applyFill="1" applyBorder="1" applyAlignment="1">
      <alignment horizontal="centerContinuous" vertical="center" wrapText="1"/>
    </xf>
    <xf numFmtId="172" fontId="23" fillId="51" borderId="55" xfId="315" applyNumberFormat="1" applyFont="1" applyFill="1" applyBorder="1" applyAlignment="1">
      <alignment horizontal="centerContinuous" vertical="center" wrapText="1"/>
    </xf>
    <xf numFmtId="0" fontId="2" fillId="0" borderId="0" xfId="313" applyFont="1" applyAlignment="1">
      <alignment vertical="center"/>
    </xf>
    <xf numFmtId="172" fontId="23" fillId="51" borderId="115" xfId="315" applyNumberFormat="1" applyFont="1" applyFill="1" applyBorder="1" applyAlignment="1">
      <alignment horizontal="center" vertical="center"/>
    </xf>
    <xf numFmtId="172" fontId="23" fillId="51" borderId="116" xfId="315" applyNumberFormat="1" applyFont="1" applyFill="1" applyBorder="1" applyAlignment="1">
      <alignment horizontal="center" vertical="center"/>
    </xf>
    <xf numFmtId="0" fontId="2" fillId="0" borderId="59" xfId="313" applyFont="1" applyBorder="1" applyAlignment="1">
      <alignment horizontal="center" vertical="center"/>
    </xf>
    <xf numFmtId="172" fontId="2" fillId="0" borderId="93" xfId="315" applyNumberFormat="1" applyFont="1" applyBorder="1" applyAlignment="1">
      <alignment vertical="center"/>
    </xf>
    <xf numFmtId="172" fontId="2" fillId="0" borderId="83" xfId="315" applyNumberFormat="1" applyFont="1" applyBorder="1" applyAlignment="1">
      <alignment vertical="center"/>
    </xf>
    <xf numFmtId="165" fontId="2" fillId="0" borderId="0" xfId="315" applyFont="1"/>
    <xf numFmtId="172" fontId="2" fillId="0" borderId="0" xfId="315" applyNumberFormat="1" applyFont="1"/>
    <xf numFmtId="169" fontId="2" fillId="0" borderId="131" xfId="314" applyNumberFormat="1" applyFont="1" applyBorder="1" applyAlignment="1">
      <alignment horizontal="right" vertical="center" indent="1"/>
    </xf>
    <xf numFmtId="169" fontId="2" fillId="0" borderId="64" xfId="314" applyNumberFormat="1" applyFont="1" applyBorder="1" applyAlignment="1">
      <alignment horizontal="right" vertical="center" indent="1"/>
    </xf>
    <xf numFmtId="169" fontId="2" fillId="0" borderId="91" xfId="314" applyNumberFormat="1" applyFont="1" applyBorder="1" applyAlignment="1">
      <alignment horizontal="right" vertical="center" indent="1"/>
    </xf>
    <xf numFmtId="9" fontId="2" fillId="0" borderId="0" xfId="314" applyFont="1"/>
    <xf numFmtId="172" fontId="2" fillId="0" borderId="131" xfId="313" applyNumberFormat="1" applyFont="1" applyBorder="1" applyAlignment="1">
      <alignment vertical="center"/>
    </xf>
    <xf numFmtId="172" fontId="2" fillId="0" borderId="64" xfId="313" applyNumberFormat="1" applyFont="1" applyBorder="1" applyAlignment="1">
      <alignment vertical="center"/>
    </xf>
    <xf numFmtId="172" fontId="2" fillId="0" borderId="51" xfId="313" applyNumberFormat="1" applyFont="1" applyBorder="1" applyAlignment="1">
      <alignment vertical="center"/>
    </xf>
    <xf numFmtId="172" fontId="2" fillId="0" borderId="91" xfId="313" applyNumberFormat="1" applyFont="1" applyBorder="1" applyAlignment="1">
      <alignment vertical="center"/>
    </xf>
    <xf numFmtId="172" fontId="2" fillId="0" borderId="93" xfId="313" applyNumberFormat="1" applyFont="1" applyBorder="1" applyAlignment="1">
      <alignment vertical="center"/>
    </xf>
    <xf numFmtId="172" fontId="2" fillId="0" borderId="65" xfId="313" applyNumberFormat="1" applyFont="1" applyBorder="1" applyAlignment="1">
      <alignment vertical="center"/>
    </xf>
    <xf numFmtId="172" fontId="2" fillId="0" borderId="68" xfId="313" applyNumberFormat="1" applyFont="1" applyBorder="1" applyAlignment="1">
      <alignment vertical="center"/>
    </xf>
    <xf numFmtId="0" fontId="2" fillId="0" borderId="1" xfId="313" applyFont="1" applyBorder="1" applyAlignment="1">
      <alignment horizontal="center" vertical="center"/>
    </xf>
    <xf numFmtId="177" fontId="2" fillId="0" borderId="21" xfId="315" applyNumberFormat="1" applyFont="1" applyBorder="1" applyAlignment="1">
      <alignment vertical="center"/>
    </xf>
    <xf numFmtId="177" fontId="2" fillId="0" borderId="13" xfId="315" applyNumberFormat="1" applyFont="1" applyBorder="1" applyAlignment="1">
      <alignment vertical="center"/>
    </xf>
    <xf numFmtId="177" fontId="2" fillId="0" borderId="93" xfId="315" applyNumberFormat="1" applyFont="1" applyBorder="1" applyAlignment="1">
      <alignment vertical="center"/>
    </xf>
    <xf numFmtId="177" fontId="2" fillId="0" borderId="83" xfId="315" applyNumberFormat="1" applyFont="1" applyBorder="1" applyAlignment="1">
      <alignment vertical="center"/>
    </xf>
    <xf numFmtId="181" fontId="2" fillId="0" borderId="93" xfId="8" applyNumberFormat="1" applyFont="1" applyBorder="1" applyAlignment="1">
      <alignment vertical="center"/>
    </xf>
    <xf numFmtId="181" fontId="2" fillId="0" borderId="83" xfId="8" applyNumberFormat="1" applyFont="1" applyBorder="1" applyAlignment="1">
      <alignment vertical="center"/>
    </xf>
    <xf numFmtId="0" fontId="2" fillId="0" borderId="84" xfId="313" applyFont="1" applyBorder="1" applyAlignment="1">
      <alignment horizontal="left" vertical="center" indent="1"/>
    </xf>
    <xf numFmtId="0" fontId="2" fillId="0" borderId="118" xfId="313" applyFont="1" applyBorder="1" applyAlignment="1">
      <alignment horizontal="left" vertical="center" indent="1"/>
    </xf>
    <xf numFmtId="181" fontId="2" fillId="0" borderId="21" xfId="8" applyNumberFormat="1" applyFont="1" applyBorder="1" applyAlignment="1">
      <alignment vertical="center"/>
    </xf>
    <xf numFmtId="181" fontId="2" fillId="0" borderId="13" xfId="8" applyNumberFormat="1" applyFont="1" applyBorder="1" applyAlignment="1">
      <alignment vertical="center"/>
    </xf>
    <xf numFmtId="0" fontId="2" fillId="0" borderId="0" xfId="313" applyFont="1" applyAlignment="1">
      <alignment horizontal="left" vertical="center"/>
    </xf>
    <xf numFmtId="169" fontId="2" fillId="0" borderId="0" xfId="314" applyNumberFormat="1" applyFont="1" applyBorder="1" applyAlignment="1">
      <alignment horizontal="right" vertical="center" indent="1"/>
    </xf>
    <xf numFmtId="172" fontId="24" fillId="0" borderId="51" xfId="313" applyNumberFormat="1" applyFont="1" applyBorder="1" applyAlignment="1">
      <alignment vertical="center"/>
    </xf>
    <xf numFmtId="172" fontId="2" fillId="0" borderId="92" xfId="313" applyNumberFormat="1" applyFont="1" applyBorder="1" applyAlignment="1">
      <alignment vertical="center"/>
    </xf>
    <xf numFmtId="0" fontId="2" fillId="0" borderId="0" xfId="313" applyFont="1" applyAlignment="1">
      <alignment horizontal="center" vertical="center"/>
    </xf>
    <xf numFmtId="180" fontId="2" fillId="0" borderId="0" xfId="315" applyNumberFormat="1" applyFont="1" applyBorder="1" applyAlignment="1">
      <alignment vertical="center"/>
    </xf>
    <xf numFmtId="0" fontId="2" fillId="0" borderId="1" xfId="313" applyFont="1" applyBorder="1" applyAlignment="1">
      <alignment horizontal="left" vertical="center" indent="1"/>
    </xf>
    <xf numFmtId="0" fontId="24" fillId="0" borderId="84" xfId="313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 indent="1"/>
    </xf>
    <xf numFmtId="0" fontId="5" fillId="0" borderId="125" xfId="0" applyFont="1" applyBorder="1" applyAlignment="1">
      <alignment horizontal="left" vertical="center" indent="1"/>
    </xf>
    <xf numFmtId="187" fontId="2" fillId="0" borderId="52" xfId="8" applyNumberFormat="1" applyFont="1" applyBorder="1" applyAlignment="1">
      <alignment vertical="center"/>
    </xf>
    <xf numFmtId="181" fontId="0" fillId="0" borderId="123" xfId="8" applyNumberFormat="1" applyFont="1" applyBorder="1" applyAlignment="1">
      <alignment vertical="center"/>
    </xf>
    <xf numFmtId="169" fontId="0" fillId="0" borderId="124" xfId="3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9" fontId="0" fillId="0" borderId="0" xfId="0" applyNumberFormat="1"/>
    <xf numFmtId="172" fontId="23" fillId="51" borderId="134" xfId="315" applyNumberFormat="1" applyFont="1" applyFill="1" applyBorder="1" applyAlignment="1">
      <alignment horizontal="centerContinuous" vertical="center" wrapText="1"/>
    </xf>
    <xf numFmtId="0" fontId="2" fillId="0" borderId="135" xfId="313" applyFont="1" applyBorder="1" applyAlignment="1">
      <alignment horizontal="left" vertical="center" indent="1"/>
    </xf>
    <xf numFmtId="187" fontId="2" fillId="0" borderId="136" xfId="8" applyNumberFormat="1" applyFont="1" applyBorder="1" applyAlignment="1">
      <alignment vertical="center"/>
    </xf>
    <xf numFmtId="0" fontId="5" fillId="0" borderId="138" xfId="0" applyFont="1" applyBorder="1" applyAlignment="1">
      <alignment horizontal="left" vertical="center" indent="1"/>
    </xf>
    <xf numFmtId="181" fontId="2" fillId="0" borderId="51" xfId="313" applyNumberFormat="1" applyFont="1" applyBorder="1" applyAlignment="1">
      <alignment vertical="center"/>
    </xf>
    <xf numFmtId="181" fontId="2" fillId="0" borderId="68" xfId="313" applyNumberFormat="1" applyFont="1" applyBorder="1" applyAlignment="1">
      <alignment vertical="center"/>
    </xf>
    <xf numFmtId="169" fontId="0" fillId="0" borderId="13" xfId="3" applyNumberFormat="1" applyFont="1" applyBorder="1" applyAlignment="1">
      <alignment vertical="center"/>
    </xf>
    <xf numFmtId="169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9" fontId="0" fillId="0" borderId="19" xfId="3" applyNumberFormat="1" applyFont="1" applyBorder="1" applyAlignment="1">
      <alignment vertical="center"/>
    </xf>
    <xf numFmtId="169" fontId="0" fillId="0" borderId="15" xfId="3" applyNumberFormat="1" applyFont="1" applyBorder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183" fontId="0" fillId="0" borderId="0" xfId="0" applyNumberFormat="1"/>
    <xf numFmtId="0" fontId="24" fillId="19" borderId="27" xfId="313" applyFont="1" applyFill="1" applyBorder="1" applyAlignment="1">
      <alignment horizontal="left" vertical="center" indent="1"/>
    </xf>
    <xf numFmtId="187" fontId="24" fillId="19" borderId="106" xfId="8" applyNumberFormat="1" applyFont="1" applyFill="1" applyBorder="1" applyAlignment="1">
      <alignment vertical="center"/>
    </xf>
    <xf numFmtId="180" fontId="24" fillId="19" borderId="38" xfId="315" applyNumberFormat="1" applyFont="1" applyFill="1" applyBorder="1" applyAlignment="1">
      <alignment vertical="center"/>
    </xf>
    <xf numFmtId="180" fontId="24" fillId="19" borderId="29" xfId="315" applyNumberFormat="1" applyFont="1" applyFill="1" applyBorder="1" applyAlignment="1">
      <alignment vertical="center"/>
    </xf>
    <xf numFmtId="169" fontId="24" fillId="19" borderId="38" xfId="314" applyNumberFormat="1" applyFont="1" applyFill="1" applyBorder="1" applyAlignment="1">
      <alignment horizontal="right" vertical="center" indent="1"/>
    </xf>
    <xf numFmtId="169" fontId="24" fillId="19" borderId="29" xfId="314" applyNumberFormat="1" applyFont="1" applyFill="1" applyBorder="1" applyAlignment="1">
      <alignment horizontal="right" vertical="center" indent="1"/>
    </xf>
    <xf numFmtId="0" fontId="65" fillId="0" borderId="0" xfId="0" applyFont="1"/>
    <xf numFmtId="181" fontId="14" fillId="19" borderId="24" xfId="8" applyNumberFormat="1" applyFont="1" applyFill="1" applyBorder="1" applyAlignment="1">
      <alignment vertical="center"/>
    </xf>
    <xf numFmtId="181" fontId="14" fillId="19" borderId="24" xfId="0" applyNumberFormat="1" applyFont="1" applyFill="1" applyBorder="1" applyAlignment="1">
      <alignment vertical="center"/>
    </xf>
    <xf numFmtId="169" fontId="14" fillId="19" borderId="17" xfId="3" applyNumberFormat="1" applyFont="1" applyFill="1" applyBorder="1" applyAlignment="1">
      <alignment horizontal="right" vertical="center" indent="1"/>
    </xf>
    <xf numFmtId="0" fontId="24" fillId="19" borderId="59" xfId="0" applyFont="1" applyFill="1" applyBorder="1" applyAlignment="1">
      <alignment horizontal="left" vertical="center" indent="1"/>
    </xf>
    <xf numFmtId="0" fontId="18" fillId="0" borderId="94" xfId="0" applyFont="1" applyBorder="1"/>
    <xf numFmtId="0" fontId="65" fillId="0" borderId="94" xfId="0" applyFont="1" applyBorder="1"/>
    <xf numFmtId="0" fontId="14" fillId="19" borderId="4" xfId="0" applyFont="1" applyFill="1" applyBorder="1" applyAlignment="1">
      <alignment vertical="center"/>
    </xf>
    <xf numFmtId="169" fontId="14" fillId="19" borderId="17" xfId="3" applyNumberFormat="1" applyFont="1" applyFill="1" applyBorder="1" applyAlignment="1">
      <alignment horizontal="right" vertical="center"/>
    </xf>
    <xf numFmtId="0" fontId="24" fillId="19" borderId="125" xfId="0" applyFont="1" applyFill="1" applyBorder="1" applyAlignment="1">
      <alignment horizontal="left" vertical="center" indent="1"/>
    </xf>
    <xf numFmtId="181" fontId="14" fillId="19" borderId="126" xfId="8" applyNumberFormat="1" applyFont="1" applyFill="1" applyBorder="1" applyAlignment="1">
      <alignment vertical="center"/>
    </xf>
    <xf numFmtId="169" fontId="14" fillId="19" borderId="127" xfId="3" applyNumberFormat="1" applyFont="1" applyFill="1" applyBorder="1" applyAlignment="1">
      <alignment horizontal="right" vertical="center" indent="1"/>
    </xf>
    <xf numFmtId="0" fontId="64" fillId="0" borderId="0" xfId="0" applyFont="1" applyAlignment="1">
      <alignment vertical="center"/>
    </xf>
    <xf numFmtId="0" fontId="18" fillId="0" borderId="0" xfId="0" applyFont="1"/>
    <xf numFmtId="180" fontId="0" fillId="0" borderId="119" xfId="0" applyNumberFormat="1" applyBorder="1" applyAlignment="1">
      <alignment vertical="center"/>
    </xf>
    <xf numFmtId="180" fontId="0" fillId="0" borderId="120" xfId="0" applyNumberFormat="1" applyBorder="1" applyAlignment="1">
      <alignment vertical="center"/>
    </xf>
    <xf numFmtId="180" fontId="0" fillId="0" borderId="122" xfId="0" applyNumberFormat="1" applyBorder="1" applyAlignment="1">
      <alignment vertical="center"/>
    </xf>
    <xf numFmtId="180" fontId="0" fillId="0" borderId="123" xfId="0" applyNumberFormat="1" applyBorder="1" applyAlignment="1">
      <alignment vertical="center"/>
    </xf>
    <xf numFmtId="180" fontId="0" fillId="0" borderId="124" xfId="0" applyNumberFormat="1" applyBorder="1" applyAlignment="1">
      <alignment vertical="center"/>
    </xf>
    <xf numFmtId="180" fontId="0" fillId="0" borderId="125" xfId="0" applyNumberFormat="1" applyBorder="1" applyAlignment="1">
      <alignment vertical="center"/>
    </xf>
    <xf numFmtId="180" fontId="0" fillId="0" borderId="126" xfId="0" applyNumberFormat="1" applyBorder="1" applyAlignment="1">
      <alignment vertical="center"/>
    </xf>
    <xf numFmtId="180" fontId="0" fillId="0" borderId="127" xfId="0" applyNumberFormat="1" applyBorder="1" applyAlignment="1">
      <alignment vertical="center"/>
    </xf>
    <xf numFmtId="181" fontId="14" fillId="0" borderId="0" xfId="8" applyNumberFormat="1" applyFont="1" applyAlignment="1">
      <alignment vertical="center"/>
    </xf>
    <xf numFmtId="181" fontId="14" fillId="19" borderId="20" xfId="8" applyNumberFormat="1" applyFont="1" applyFill="1" applyBorder="1" applyAlignment="1">
      <alignment vertical="center"/>
    </xf>
    <xf numFmtId="181" fontId="14" fillId="19" borderId="17" xfId="8" applyNumberFormat="1" applyFont="1" applyFill="1" applyBorder="1" applyAlignment="1">
      <alignment vertical="center"/>
    </xf>
    <xf numFmtId="0" fontId="14" fillId="0" borderId="142" xfId="0" quotePrefix="1" applyFont="1" applyBorder="1" applyAlignment="1">
      <alignment horizontal="left" vertical="center" indent="1"/>
    </xf>
    <xf numFmtId="0" fontId="26" fillId="0" borderId="143" xfId="0" applyFont="1" applyBorder="1" applyAlignment="1">
      <alignment vertical="center"/>
    </xf>
    <xf numFmtId="0" fontId="13" fillId="0" borderId="145" xfId="0" applyFont="1" applyBorder="1" applyAlignment="1">
      <alignment horizontal="left" vertical="center" indent="2"/>
    </xf>
    <xf numFmtId="0" fontId="28" fillId="0" borderId="146" xfId="0" applyFont="1" applyBorder="1" applyAlignment="1">
      <alignment vertical="center"/>
    </xf>
    <xf numFmtId="171" fontId="4" fillId="0" borderId="147" xfId="198" applyNumberFormat="1" applyFont="1" applyFill="1" applyBorder="1" applyAlignment="1">
      <alignment vertical="center"/>
    </xf>
    <xf numFmtId="0" fontId="14" fillId="0" borderId="145" xfId="0" quotePrefix="1" applyFont="1" applyBorder="1" applyAlignment="1">
      <alignment horizontal="left" vertical="center" indent="1"/>
    </xf>
    <xf numFmtId="0" fontId="26" fillId="0" borderId="146" xfId="0" applyFont="1" applyBorder="1" applyAlignment="1">
      <alignment vertical="center"/>
    </xf>
    <xf numFmtId="0" fontId="13" fillId="0" borderId="148" xfId="0" applyFont="1" applyBorder="1" applyAlignment="1">
      <alignment horizontal="left" vertical="center" indent="2"/>
    </xf>
    <xf numFmtId="0" fontId="26" fillId="0" borderId="149" xfId="0" applyFont="1" applyBorder="1" applyAlignment="1">
      <alignment vertical="center"/>
    </xf>
    <xf numFmtId="0" fontId="13" fillId="0" borderId="145" xfId="0" applyFont="1" applyBorder="1" applyAlignment="1">
      <alignment horizontal="left" vertical="center" indent="3"/>
    </xf>
    <xf numFmtId="0" fontId="14" fillId="0" borderId="145" xfId="0" applyFont="1" applyBorder="1" applyAlignment="1">
      <alignment horizontal="left" vertical="center" indent="1"/>
    </xf>
    <xf numFmtId="0" fontId="13" fillId="0" borderId="148" xfId="0" applyFont="1" applyBorder="1" applyAlignment="1">
      <alignment horizontal="left" vertical="center" indent="3"/>
    </xf>
    <xf numFmtId="181" fontId="2" fillId="0" borderId="0" xfId="313" applyNumberFormat="1" applyFont="1"/>
    <xf numFmtId="0" fontId="33" fillId="3" borderId="5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Continuous" vertical="center" wrapText="1"/>
    </xf>
    <xf numFmtId="0" fontId="33" fillId="3" borderId="61" xfId="210" applyFont="1" applyFill="1" applyBorder="1" applyAlignment="1">
      <alignment horizontal="center" vertical="center" wrapText="1"/>
    </xf>
    <xf numFmtId="0" fontId="33" fillId="3" borderId="62" xfId="210" applyFont="1" applyFill="1" applyBorder="1" applyAlignment="1">
      <alignment horizontal="center" vertical="center" wrapText="1"/>
    </xf>
    <xf numFmtId="0" fontId="33" fillId="3" borderId="90" xfId="210" applyFont="1" applyFill="1" applyBorder="1" applyAlignment="1">
      <alignment horizontal="center" vertical="center" wrapText="1"/>
    </xf>
    <xf numFmtId="0" fontId="33" fillId="3" borderId="63" xfId="210" applyFont="1" applyFill="1" applyBorder="1" applyAlignment="1">
      <alignment horizontal="center" vertical="center" wrapText="1"/>
    </xf>
    <xf numFmtId="0" fontId="33" fillId="3" borderId="87" xfId="0" applyFont="1" applyFill="1" applyBorder="1" applyAlignment="1">
      <alignment horizontal="centerContinuous" vertical="center"/>
    </xf>
    <xf numFmtId="0" fontId="33" fillId="3" borderId="88" xfId="0" applyFont="1" applyFill="1" applyBorder="1" applyAlignment="1">
      <alignment horizontal="centerContinuous" vertical="center"/>
    </xf>
    <xf numFmtId="0" fontId="33" fillId="3" borderId="89" xfId="0" applyFont="1" applyFill="1" applyBorder="1" applyAlignment="1">
      <alignment horizontal="centerContinuous" vertical="center"/>
    </xf>
    <xf numFmtId="0" fontId="13" fillId="0" borderId="151" xfId="0" applyFont="1" applyBorder="1" applyAlignment="1">
      <alignment horizontal="center" vertical="center"/>
    </xf>
    <xf numFmtId="3" fontId="0" fillId="0" borderId="152" xfId="0" applyNumberFormat="1" applyBorder="1" applyAlignment="1">
      <alignment vertical="center"/>
    </xf>
    <xf numFmtId="10" fontId="0" fillId="0" borderId="152" xfId="3" applyNumberFormat="1" applyFont="1" applyFill="1" applyBorder="1" applyAlignment="1">
      <alignment horizontal="center" vertical="center"/>
    </xf>
    <xf numFmtId="10" fontId="0" fillId="0" borderId="153" xfId="3" applyNumberFormat="1" applyFont="1" applyFill="1" applyBorder="1" applyAlignment="1">
      <alignment horizontal="center" vertical="center"/>
    </xf>
    <xf numFmtId="0" fontId="13" fillId="0" borderId="122" xfId="0" applyFont="1" applyBorder="1" applyAlignment="1">
      <alignment horizontal="center" vertical="center"/>
    </xf>
    <xf numFmtId="3" fontId="0" fillId="0" borderId="123" xfId="0" applyNumberFormat="1" applyBorder="1" applyAlignment="1">
      <alignment vertical="center"/>
    </xf>
    <xf numFmtId="10" fontId="0" fillId="0" borderId="123" xfId="3" applyNumberFormat="1" applyFont="1" applyFill="1" applyBorder="1" applyAlignment="1">
      <alignment horizontal="center" vertical="center"/>
    </xf>
    <xf numFmtId="10" fontId="0" fillId="0" borderId="124" xfId="3" applyNumberFormat="1" applyFont="1" applyFill="1" applyBorder="1" applyAlignment="1">
      <alignment horizontal="center" vertical="center"/>
    </xf>
    <xf numFmtId="0" fontId="13" fillId="0" borderId="125" xfId="0" applyFont="1" applyBorder="1" applyAlignment="1">
      <alignment horizontal="center" vertical="center"/>
    </xf>
    <xf numFmtId="3" fontId="0" fillId="0" borderId="126" xfId="0" applyNumberFormat="1" applyBorder="1" applyAlignment="1">
      <alignment vertical="center"/>
    </xf>
    <xf numFmtId="10" fontId="0" fillId="0" borderId="126" xfId="3" applyNumberFormat="1" applyFont="1" applyFill="1" applyBorder="1" applyAlignment="1">
      <alignment horizontal="center" vertical="center"/>
    </xf>
    <xf numFmtId="10" fontId="0" fillId="0" borderId="127" xfId="3" applyNumberFormat="1" applyFont="1" applyFill="1" applyBorder="1" applyAlignment="1">
      <alignment horizontal="center" vertical="center"/>
    </xf>
    <xf numFmtId="3" fontId="14" fillId="19" borderId="24" xfId="0" applyNumberFormat="1" applyFont="1" applyFill="1" applyBorder="1" applyAlignment="1">
      <alignment vertical="center"/>
    </xf>
    <xf numFmtId="10" fontId="14" fillId="19" borderId="24" xfId="3" applyNumberFormat="1" applyFont="1" applyFill="1" applyBorder="1" applyAlignment="1">
      <alignment horizontal="center" vertical="center"/>
    </xf>
    <xf numFmtId="10" fontId="14" fillId="19" borderId="17" xfId="3" applyNumberFormat="1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vertical="center"/>
    </xf>
    <xf numFmtId="0" fontId="13" fillId="0" borderId="154" xfId="0" applyFont="1" applyBorder="1" applyAlignment="1">
      <alignment horizontal="left" vertical="center" indent="1"/>
    </xf>
    <xf numFmtId="0" fontId="0" fillId="0" borderId="155" xfId="0" applyBorder="1" applyAlignment="1">
      <alignment vertical="center"/>
    </xf>
    <xf numFmtId="181" fontId="0" fillId="0" borderId="153" xfId="8" applyNumberFormat="1" applyFont="1" applyBorder="1" applyAlignment="1">
      <alignment vertical="center"/>
    </xf>
    <xf numFmtId="0" fontId="13" fillId="0" borderId="145" xfId="0" applyFont="1" applyBorder="1" applyAlignment="1">
      <alignment horizontal="left" vertical="center" indent="1"/>
    </xf>
    <xf numFmtId="0" fontId="0" fillId="0" borderId="146" xfId="0" applyBorder="1" applyAlignment="1">
      <alignment vertical="center"/>
    </xf>
    <xf numFmtId="181" fontId="0" fillId="0" borderId="124" xfId="8" applyNumberFormat="1" applyFont="1" applyBorder="1" applyAlignment="1">
      <alignment vertical="center"/>
    </xf>
    <xf numFmtId="9" fontId="0" fillId="0" borderId="124" xfId="0" applyNumberFormat="1" applyBorder="1" applyAlignment="1">
      <alignment horizontal="right" vertical="center" indent="2"/>
    </xf>
    <xf numFmtId="0" fontId="13" fillId="0" borderId="148" xfId="0" applyFont="1" applyBorder="1" applyAlignment="1">
      <alignment horizontal="left" vertical="center" indent="1"/>
    </xf>
    <xf numFmtId="0" fontId="0" fillId="0" borderId="149" xfId="0" applyBorder="1" applyAlignment="1">
      <alignment vertical="center"/>
    </xf>
    <xf numFmtId="181" fontId="0" fillId="0" borderId="127" xfId="8" applyNumberFormat="1" applyFont="1" applyBorder="1" applyAlignment="1">
      <alignment vertical="center"/>
    </xf>
    <xf numFmtId="180" fontId="0" fillId="54" borderId="120" xfId="0" applyNumberFormat="1" applyFill="1" applyBorder="1" applyAlignment="1">
      <alignment vertical="center"/>
    </xf>
    <xf numFmtId="180" fontId="0" fillId="54" borderId="121" xfId="0" applyNumberFormat="1" applyFill="1" applyBorder="1" applyAlignment="1">
      <alignment vertical="center"/>
    </xf>
    <xf numFmtId="169" fontId="0" fillId="0" borderId="124" xfId="3" applyNumberFormat="1" applyFont="1" applyBorder="1" applyAlignment="1">
      <alignment horizontal="right" vertical="center"/>
    </xf>
    <xf numFmtId="181" fontId="0" fillId="0" borderId="139" xfId="8" applyNumberFormat="1" applyFont="1" applyBorder="1" applyAlignment="1">
      <alignment vertical="center"/>
    </xf>
    <xf numFmtId="169" fontId="0" fillId="0" borderId="140" xfId="3" applyNumberFormat="1" applyFont="1" applyBorder="1" applyAlignment="1">
      <alignment horizontal="right" vertical="center"/>
    </xf>
    <xf numFmtId="181" fontId="14" fillId="19" borderId="93" xfId="8" applyNumberFormat="1" applyFont="1" applyFill="1" applyBorder="1" applyAlignment="1">
      <alignment vertical="center"/>
    </xf>
    <xf numFmtId="169" fontId="14" fillId="19" borderId="83" xfId="3" applyNumberFormat="1" applyFont="1" applyFill="1" applyBorder="1" applyAlignment="1">
      <alignment horizontal="right" vertical="center"/>
    </xf>
    <xf numFmtId="175" fontId="0" fillId="0" borderId="123" xfId="8" applyNumberFormat="1" applyFont="1" applyBorder="1" applyAlignment="1">
      <alignment vertical="center"/>
    </xf>
    <xf numFmtId="175" fontId="0" fillId="0" borderId="124" xfId="8" applyNumberFormat="1" applyFont="1" applyBorder="1" applyAlignment="1">
      <alignment vertical="center"/>
    </xf>
    <xf numFmtId="175" fontId="0" fillId="0" borderId="126" xfId="8" applyNumberFormat="1" applyFont="1" applyBorder="1" applyAlignment="1">
      <alignment vertical="center"/>
    </xf>
    <xf numFmtId="175" fontId="0" fillId="0" borderId="127" xfId="8" applyNumberFormat="1" applyFont="1" applyBorder="1" applyAlignment="1">
      <alignment vertical="center"/>
    </xf>
    <xf numFmtId="180" fontId="2" fillId="0" borderId="21" xfId="315" applyNumberFormat="1" applyFont="1" applyBorder="1" applyAlignment="1">
      <alignment vertical="center"/>
    </xf>
    <xf numFmtId="180" fontId="2" fillId="0" borderId="13" xfId="315" applyNumberFormat="1" applyFont="1" applyBorder="1" applyAlignment="1">
      <alignment vertical="center"/>
    </xf>
    <xf numFmtId="0" fontId="2" fillId="0" borderId="59" xfId="0" applyFont="1" applyBorder="1" applyAlignment="1">
      <alignment horizontal="left" vertical="center" indent="1"/>
    </xf>
    <xf numFmtId="168" fontId="0" fillId="0" borderId="129" xfId="1" applyNumberFormat="1" applyFont="1" applyBorder="1" applyAlignment="1">
      <alignment horizontal="center" vertical="center"/>
    </xf>
    <xf numFmtId="168" fontId="0" fillId="0" borderId="69" xfId="1" applyNumberFormat="1" applyFont="1" applyBorder="1" applyAlignment="1">
      <alignment horizontal="center" vertical="center"/>
    </xf>
    <xf numFmtId="0" fontId="13" fillId="0" borderId="98" xfId="0" applyFont="1" applyBorder="1" applyAlignment="1">
      <alignment horizontal="left" vertical="center" indent="1"/>
    </xf>
    <xf numFmtId="172" fontId="23" fillId="51" borderId="57" xfId="315" applyNumberFormat="1" applyFont="1" applyFill="1" applyBorder="1" applyAlignment="1">
      <alignment horizontal="center" vertical="center" wrapText="1"/>
    </xf>
    <xf numFmtId="172" fontId="23" fillId="51" borderId="128" xfId="315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indent="1"/>
    </xf>
    <xf numFmtId="177" fontId="5" fillId="0" borderId="126" xfId="8" applyNumberFormat="1" applyFont="1" applyFill="1" applyBorder="1" applyAlignment="1">
      <alignment vertical="center"/>
    </xf>
    <xf numFmtId="10" fontId="5" fillId="0" borderId="18" xfId="3" applyNumberFormat="1" applyFont="1" applyFill="1" applyBorder="1" applyAlignment="1">
      <alignment vertical="center"/>
    </xf>
    <xf numFmtId="177" fontId="5" fillId="55" borderId="120" xfId="8" applyNumberFormat="1" applyFont="1" applyFill="1" applyBorder="1" applyAlignment="1">
      <alignment vertical="center"/>
    </xf>
    <xf numFmtId="0" fontId="2" fillId="0" borderId="58" xfId="313" applyFont="1" applyBorder="1" applyAlignment="1">
      <alignment horizontal="left" vertical="center" indent="1"/>
    </xf>
    <xf numFmtId="0" fontId="2" fillId="0" borderId="59" xfId="313" applyFont="1" applyBorder="1" applyAlignment="1">
      <alignment horizontal="left" vertical="center" indent="1"/>
    </xf>
    <xf numFmtId="181" fontId="0" fillId="0" borderId="93" xfId="8" applyNumberFormat="1" applyFont="1" applyBorder="1" applyAlignment="1">
      <alignment vertical="center"/>
    </xf>
    <xf numFmtId="169" fontId="0" fillId="0" borderId="140" xfId="3" applyNumberFormat="1" applyFont="1" applyBorder="1" applyAlignment="1">
      <alignment horizontal="right" vertical="center" indent="1"/>
    </xf>
    <xf numFmtId="169" fontId="0" fillId="0" borderId="83" xfId="3" applyNumberFormat="1" applyFont="1" applyBorder="1" applyAlignment="1">
      <alignment horizontal="right" vertical="center" indent="1"/>
    </xf>
    <xf numFmtId="181" fontId="0" fillId="0" borderId="0" xfId="0" applyNumberFormat="1" applyAlignment="1">
      <alignment vertical="center"/>
    </xf>
    <xf numFmtId="171" fontId="14" fillId="0" borderId="0" xfId="0" applyNumberFormat="1" applyFont="1" applyAlignment="1">
      <alignment vertical="center"/>
    </xf>
    <xf numFmtId="188" fontId="2" fillId="0" borderId="21" xfId="8" applyNumberFormat="1" applyFont="1" applyBorder="1" applyAlignment="1">
      <alignment vertical="center"/>
    </xf>
    <xf numFmtId="188" fontId="2" fillId="0" borderId="13" xfId="8" applyNumberFormat="1" applyFont="1" applyBorder="1" applyAlignment="1">
      <alignment vertical="center"/>
    </xf>
    <xf numFmtId="188" fontId="24" fillId="19" borderId="38" xfId="8" applyNumberFormat="1" applyFont="1" applyFill="1" applyBorder="1" applyAlignment="1">
      <alignment vertical="center"/>
    </xf>
    <xf numFmtId="188" fontId="24" fillId="19" borderId="29" xfId="8" applyNumberFormat="1" applyFont="1" applyFill="1" applyBorder="1" applyAlignment="1">
      <alignment vertical="center"/>
    </xf>
    <xf numFmtId="188" fontId="2" fillId="0" borderId="132" xfId="8" applyNumberFormat="1" applyFont="1" applyBorder="1" applyAlignment="1">
      <alignment vertical="center"/>
    </xf>
    <xf numFmtId="180" fontId="5" fillId="0" borderId="123" xfId="8" applyNumberFormat="1" applyFont="1" applyBorder="1" applyAlignment="1">
      <alignment vertical="center"/>
    </xf>
    <xf numFmtId="180" fontId="5" fillId="0" borderId="120" xfId="8" applyNumberFormat="1" applyFont="1" applyBorder="1" applyAlignment="1">
      <alignment vertical="center"/>
    </xf>
    <xf numFmtId="180" fontId="5" fillId="54" borderId="120" xfId="8" applyNumberFormat="1" applyFont="1" applyFill="1" applyBorder="1" applyAlignment="1">
      <alignment vertical="center"/>
    </xf>
    <xf numFmtId="180" fontId="5" fillId="54" borderId="121" xfId="8" applyNumberFormat="1" applyFont="1" applyFill="1" applyBorder="1" applyAlignment="1">
      <alignment vertical="center"/>
    </xf>
    <xf numFmtId="180" fontId="5" fillId="0" borderId="124" xfId="8" applyNumberFormat="1" applyFont="1" applyBorder="1" applyAlignment="1">
      <alignment vertical="center"/>
    </xf>
    <xf numFmtId="180" fontId="5" fillId="0" borderId="126" xfId="8" applyNumberFormat="1" applyFont="1" applyBorder="1" applyAlignment="1">
      <alignment vertical="center"/>
    </xf>
    <xf numFmtId="180" fontId="5" fillId="0" borderId="127" xfId="8" applyNumberFormat="1" applyFont="1" applyBorder="1" applyAlignment="1">
      <alignment vertical="center"/>
    </xf>
    <xf numFmtId="183" fontId="0" fillId="0" borderId="0" xfId="3" applyNumberFormat="1" applyFont="1"/>
    <xf numFmtId="172" fontId="5" fillId="0" borderId="0" xfId="8" applyNumberFormat="1" applyFont="1" applyFill="1" applyBorder="1" applyAlignment="1">
      <alignment vertical="center"/>
    </xf>
    <xf numFmtId="0" fontId="5" fillId="0" borderId="84" xfId="0" applyFont="1" applyBorder="1" applyAlignment="1">
      <alignment horizontal="center" vertical="center"/>
    </xf>
    <xf numFmtId="172" fontId="5" fillId="0" borderId="64" xfId="8" applyNumberFormat="1" applyFont="1" applyFill="1" applyBorder="1" applyAlignment="1">
      <alignment vertical="center"/>
    </xf>
    <xf numFmtId="180" fontId="5" fillId="0" borderId="42" xfId="8" applyNumberFormat="1" applyFont="1" applyBorder="1" applyAlignment="1">
      <alignment vertical="center"/>
    </xf>
    <xf numFmtId="180" fontId="5" fillId="0" borderId="22" xfId="8" applyNumberFormat="1" applyFont="1" applyFill="1" applyBorder="1" applyAlignment="1">
      <alignment vertical="center"/>
    </xf>
    <xf numFmtId="180" fontId="5" fillId="0" borderId="14" xfId="8" applyNumberFormat="1" applyFont="1" applyFill="1" applyBorder="1" applyAlignment="1">
      <alignment vertical="center"/>
    </xf>
    <xf numFmtId="188" fontId="2" fillId="0" borderId="52" xfId="8" applyNumberFormat="1" applyFont="1" applyBorder="1" applyAlignment="1">
      <alignment vertical="center"/>
    </xf>
    <xf numFmtId="188" fontId="2" fillId="0" borderId="136" xfId="8" applyNumberFormat="1" applyFont="1" applyBorder="1" applyAlignment="1">
      <alignment vertical="center"/>
    </xf>
    <xf numFmtId="188" fontId="24" fillId="19" borderId="106" xfId="8" applyNumberFormat="1" applyFont="1" applyFill="1" applyBorder="1" applyAlignment="1">
      <alignment vertical="center"/>
    </xf>
    <xf numFmtId="177" fontId="5" fillId="0" borderId="123" xfId="8" applyNumberFormat="1" applyFont="1" applyFill="1" applyBorder="1" applyAlignment="1">
      <alignment vertical="center"/>
    </xf>
    <xf numFmtId="180" fontId="0" fillId="0" borderId="15" xfId="0" applyNumberFormat="1" applyBorder="1"/>
    <xf numFmtId="181" fontId="14" fillId="0" borderId="37" xfId="8" applyNumberFormat="1" applyFont="1" applyFill="1" applyBorder="1" applyAlignment="1">
      <alignment vertical="center"/>
    </xf>
    <xf numFmtId="181" fontId="14" fillId="0" borderId="70" xfId="8" applyNumberFormat="1" applyFont="1" applyBorder="1" applyAlignment="1">
      <alignment vertical="center"/>
    </xf>
    <xf numFmtId="181" fontId="14" fillId="0" borderId="14" xfId="8" applyNumberFormat="1" applyFont="1" applyBorder="1" applyAlignment="1">
      <alignment vertical="center"/>
    </xf>
    <xf numFmtId="181" fontId="14" fillId="0" borderId="43" xfId="8" applyNumberFormat="1" applyFont="1" applyBorder="1" applyAlignment="1">
      <alignment vertical="center"/>
    </xf>
    <xf numFmtId="181" fontId="14" fillId="0" borderId="44" xfId="8" applyNumberFormat="1" applyFont="1" applyBorder="1" applyAlignment="1">
      <alignment vertical="center"/>
    </xf>
    <xf numFmtId="181" fontId="0" fillId="0" borderId="32" xfId="8" applyNumberFormat="1" applyFont="1" applyFill="1" applyBorder="1" applyAlignment="1">
      <alignment vertical="center"/>
    </xf>
    <xf numFmtId="181" fontId="0" fillId="0" borderId="97" xfId="8" applyNumberFormat="1" applyFont="1" applyFill="1" applyBorder="1" applyAlignment="1">
      <alignment vertical="center"/>
    </xf>
    <xf numFmtId="181" fontId="0" fillId="0" borderId="98" xfId="8" applyNumberFormat="1" applyFont="1" applyFill="1" applyBorder="1" applyAlignment="1">
      <alignment vertical="center"/>
    </xf>
    <xf numFmtId="181" fontId="0" fillId="0" borderId="41" xfId="8" applyNumberFormat="1" applyFont="1" applyFill="1" applyBorder="1" applyAlignment="1">
      <alignment vertical="center"/>
    </xf>
    <xf numFmtId="181" fontId="0" fillId="0" borderId="22" xfId="8" applyNumberFormat="1" applyFont="1" applyFill="1" applyBorder="1" applyAlignment="1">
      <alignment vertical="center"/>
    </xf>
    <xf numFmtId="181" fontId="0" fillId="0" borderId="42" xfId="8" applyNumberFormat="1" applyFont="1" applyFill="1" applyBorder="1" applyAlignment="1">
      <alignment vertical="center"/>
    </xf>
    <xf numFmtId="181" fontId="0" fillId="0" borderId="23" xfId="8" applyNumberFormat="1" applyFont="1" applyFill="1" applyBorder="1" applyAlignment="1">
      <alignment vertical="center"/>
    </xf>
    <xf numFmtId="181" fontId="0" fillId="0" borderId="22" xfId="198" applyNumberFormat="1" applyFont="1" applyBorder="1" applyAlignment="1">
      <alignment vertical="center"/>
    </xf>
    <xf numFmtId="181" fontId="0" fillId="0" borderId="13" xfId="198" applyNumberFormat="1" applyFont="1" applyBorder="1" applyAlignment="1">
      <alignment vertical="center"/>
    </xf>
    <xf numFmtId="181" fontId="0" fillId="0" borderId="14" xfId="198" applyNumberFormat="1" applyFont="1" applyBorder="1" applyAlignment="1">
      <alignment vertical="center"/>
    </xf>
    <xf numFmtId="181" fontId="0" fillId="0" borderId="23" xfId="198" applyNumberFormat="1" applyFont="1" applyBorder="1" applyAlignment="1">
      <alignment vertical="center"/>
    </xf>
    <xf numFmtId="181" fontId="0" fillId="0" borderId="15" xfId="198" applyNumberFormat="1" applyFont="1" applyBorder="1" applyAlignment="1">
      <alignment vertical="center"/>
    </xf>
    <xf numFmtId="181" fontId="14" fillId="0" borderId="0" xfId="198" applyNumberFormat="1" applyFont="1" applyAlignment="1">
      <alignment vertical="center"/>
    </xf>
    <xf numFmtId="181" fontId="0" fillId="0" borderId="0" xfId="198" applyNumberFormat="1" applyFont="1" applyAlignment="1">
      <alignment vertical="center"/>
    </xf>
    <xf numFmtId="181" fontId="14" fillId="19" borderId="20" xfId="198" applyNumberFormat="1" applyFont="1" applyFill="1" applyBorder="1" applyAlignment="1">
      <alignment vertical="center"/>
    </xf>
    <xf numFmtId="181" fontId="14" fillId="19" borderId="17" xfId="198" applyNumberFormat="1" applyFont="1" applyFill="1" applyBorder="1" applyAlignment="1">
      <alignment vertical="center"/>
    </xf>
    <xf numFmtId="169" fontId="0" fillId="0" borderId="18" xfId="3" applyNumberFormat="1" applyFont="1" applyFill="1" applyBorder="1" applyAlignment="1">
      <alignment horizontal="right" vertical="center" indent="1"/>
    </xf>
    <xf numFmtId="169" fontId="0" fillId="0" borderId="14" xfId="3" applyNumberFormat="1" applyFont="1" applyFill="1" applyBorder="1" applyAlignment="1">
      <alignment horizontal="right" vertical="center" indent="1"/>
    </xf>
    <xf numFmtId="169" fontId="0" fillId="0" borderId="19" xfId="3" applyNumberFormat="1" applyFont="1" applyFill="1" applyBorder="1" applyAlignment="1">
      <alignment horizontal="right" vertical="center" indent="1"/>
    </xf>
    <xf numFmtId="169" fontId="0" fillId="0" borderId="15" xfId="3" applyNumberFormat="1" applyFont="1" applyFill="1" applyBorder="1" applyAlignment="1">
      <alignment horizontal="right" vertical="center" indent="1"/>
    </xf>
    <xf numFmtId="169" fontId="21" fillId="0" borderId="0" xfId="0" applyNumberFormat="1" applyFont="1" applyAlignment="1">
      <alignment vertical="center"/>
    </xf>
    <xf numFmtId="187" fontId="2" fillId="0" borderId="21" xfId="8" applyNumberFormat="1" applyFont="1" applyBorder="1" applyAlignment="1">
      <alignment vertical="center"/>
    </xf>
    <xf numFmtId="187" fontId="2" fillId="0" borderId="13" xfId="8" applyNumberFormat="1" applyFont="1" applyBorder="1" applyAlignment="1">
      <alignment vertical="center"/>
    </xf>
    <xf numFmtId="187" fontId="2" fillId="0" borderId="132" xfId="8" applyNumberFormat="1" applyFont="1" applyBorder="1" applyAlignment="1">
      <alignment vertical="center"/>
    </xf>
    <xf numFmtId="187" fontId="2" fillId="0" borderId="137" xfId="8" applyNumberFormat="1" applyFont="1" applyBorder="1" applyAlignment="1">
      <alignment vertical="center"/>
    </xf>
    <xf numFmtId="187" fontId="24" fillId="19" borderId="38" xfId="8" applyNumberFormat="1" applyFont="1" applyFill="1" applyBorder="1" applyAlignment="1">
      <alignment vertical="center"/>
    </xf>
    <xf numFmtId="187" fontId="24" fillId="19" borderId="29" xfId="8" applyNumberFormat="1" applyFont="1" applyFill="1" applyBorder="1" applyAlignment="1">
      <alignment vertical="center"/>
    </xf>
    <xf numFmtId="183" fontId="2" fillId="0" borderId="0" xfId="313" applyNumberFormat="1" applyFont="1"/>
    <xf numFmtId="9" fontId="14" fillId="0" borderId="0" xfId="3" applyFont="1" applyAlignment="1">
      <alignment vertical="center"/>
    </xf>
    <xf numFmtId="172" fontId="23" fillId="51" borderId="114" xfId="8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26" fillId="0" borderId="157" xfId="0" applyFont="1" applyBorder="1" applyAlignment="1">
      <alignment vertical="center"/>
    </xf>
    <xf numFmtId="0" fontId="13" fillId="0" borderId="156" xfId="0" applyFont="1" applyBorder="1" applyAlignment="1">
      <alignment horizontal="left" vertical="center" indent="3"/>
    </xf>
    <xf numFmtId="171" fontId="27" fillId="56" borderId="86" xfId="198" applyNumberFormat="1" applyFont="1" applyFill="1" applyBorder="1" applyAlignment="1">
      <alignment vertical="center"/>
    </xf>
    <xf numFmtId="171" fontId="33" fillId="56" borderId="30" xfId="198" applyNumberFormat="1" applyFont="1" applyFill="1" applyBorder="1" applyAlignment="1">
      <alignment horizontal="center" vertical="center" wrapText="1"/>
    </xf>
    <xf numFmtId="171" fontId="33" fillId="56" borderId="86" xfId="198" applyNumberFormat="1" applyFont="1" applyFill="1" applyBorder="1" applyAlignment="1">
      <alignment vertical="center"/>
    </xf>
    <xf numFmtId="167" fontId="0" fillId="0" borderId="21" xfId="8" applyFont="1" applyBorder="1"/>
    <xf numFmtId="167" fontId="0" fillId="0" borderId="13" xfId="8" applyFont="1" applyBorder="1"/>
    <xf numFmtId="167" fontId="0" fillId="0" borderId="22" xfId="8" applyFont="1" applyBorder="1"/>
    <xf numFmtId="167" fontId="0" fillId="0" borderId="14" xfId="8" applyFont="1" applyBorder="1"/>
    <xf numFmtId="167" fontId="0" fillId="0" borderId="23" xfId="8" applyFont="1" applyBorder="1"/>
    <xf numFmtId="167" fontId="0" fillId="0" borderId="15" xfId="8" applyFont="1" applyBorder="1"/>
    <xf numFmtId="172" fontId="24" fillId="0" borderId="81" xfId="0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167" fontId="0" fillId="0" borderId="120" xfId="8" applyFont="1" applyBorder="1"/>
    <xf numFmtId="167" fontId="0" fillId="0" borderId="123" xfId="8" applyFont="1" applyBorder="1"/>
    <xf numFmtId="167" fontId="0" fillId="0" borderId="126" xfId="8" applyFont="1" applyBorder="1"/>
    <xf numFmtId="167" fontId="14" fillId="19" borderId="24" xfId="8" applyFont="1" applyFill="1" applyBorder="1" applyAlignment="1">
      <alignment vertical="center"/>
    </xf>
    <xf numFmtId="167" fontId="0" fillId="0" borderId="119" xfId="8" applyFont="1" applyBorder="1"/>
    <xf numFmtId="167" fontId="0" fillId="0" borderId="121" xfId="8" applyFont="1" applyBorder="1"/>
    <xf numFmtId="167" fontId="0" fillId="0" borderId="122" xfId="8" applyFont="1" applyBorder="1"/>
    <xf numFmtId="167" fontId="0" fillId="0" borderId="124" xfId="8" applyFont="1" applyBorder="1"/>
    <xf numFmtId="167" fontId="0" fillId="0" borderId="125" xfId="8" applyFont="1" applyBorder="1"/>
    <xf numFmtId="167" fontId="0" fillId="0" borderId="127" xfId="8" applyFont="1" applyBorder="1"/>
    <xf numFmtId="171" fontId="24" fillId="0" borderId="144" xfId="198" applyNumberFormat="1" applyFont="1" applyFill="1" applyBorder="1" applyAlignment="1">
      <alignment vertical="center"/>
    </xf>
    <xf numFmtId="171" fontId="24" fillId="0" borderId="147" xfId="198" applyNumberFormat="1" applyFont="1" applyFill="1" applyBorder="1" applyAlignment="1">
      <alignment vertical="center"/>
    </xf>
    <xf numFmtId="171" fontId="2" fillId="0" borderId="147" xfId="198" applyNumberFormat="1" applyFont="1" applyFill="1" applyBorder="1" applyAlignment="1">
      <alignment vertical="center"/>
    </xf>
    <xf numFmtId="171" fontId="28" fillId="0" borderId="147" xfId="198" applyNumberFormat="1" applyFont="1" applyFill="1" applyBorder="1" applyAlignment="1">
      <alignment vertical="center"/>
    </xf>
    <xf numFmtId="172" fontId="23" fillId="51" borderId="159" xfId="8" applyNumberFormat="1" applyFont="1" applyFill="1" applyBorder="1" applyAlignment="1">
      <alignment horizontal="center" vertical="center"/>
    </xf>
    <xf numFmtId="172" fontId="23" fillId="51" borderId="160" xfId="8" applyNumberFormat="1" applyFont="1" applyFill="1" applyBorder="1" applyAlignment="1">
      <alignment horizontal="center" vertical="center"/>
    </xf>
    <xf numFmtId="172" fontId="23" fillId="51" borderId="161" xfId="8" applyNumberFormat="1" applyFont="1" applyFill="1" applyBorder="1" applyAlignment="1">
      <alignment horizontal="center" vertical="center"/>
    </xf>
    <xf numFmtId="180" fontId="0" fillId="0" borderId="162" xfId="0" applyNumberFormat="1" applyBorder="1"/>
    <xf numFmtId="180" fontId="0" fillId="0" borderId="163" xfId="0" applyNumberFormat="1" applyBorder="1"/>
    <xf numFmtId="180" fontId="0" fillId="0" borderId="164" xfId="0" applyNumberFormat="1" applyBorder="1"/>
    <xf numFmtId="171" fontId="26" fillId="0" borderId="147" xfId="198" applyNumberFormat="1" applyFont="1" applyFill="1" applyBorder="1" applyAlignment="1">
      <alignment horizontal="right" vertical="center"/>
    </xf>
    <xf numFmtId="171" fontId="26" fillId="0" borderId="158" xfId="198" applyNumberFormat="1" applyFont="1" applyFill="1" applyBorder="1" applyAlignment="1">
      <alignment horizontal="right" vertical="center"/>
    </xf>
    <xf numFmtId="171" fontId="26" fillId="0" borderId="150" xfId="198" applyNumberFormat="1" applyFont="1" applyFill="1" applyBorder="1" applyAlignment="1">
      <alignment horizontal="right" vertical="center"/>
    </xf>
    <xf numFmtId="169" fontId="13" fillId="0" borderId="0" xfId="3" applyNumberFormat="1" applyFont="1" applyAlignment="1">
      <alignment vertical="center"/>
    </xf>
    <xf numFmtId="0" fontId="13" fillId="0" borderId="0" xfId="0" applyFont="1" applyAlignment="1">
      <alignment vertical="center"/>
    </xf>
    <xf numFmtId="167" fontId="14" fillId="0" borderId="0" xfId="8" applyFont="1" applyAlignment="1">
      <alignment vertical="center"/>
    </xf>
    <xf numFmtId="171" fontId="2" fillId="0" borderId="147" xfId="198" applyNumberFormat="1" applyFont="1" applyFill="1" applyBorder="1" applyAlignment="1">
      <alignment horizontal="right" vertical="center"/>
    </xf>
    <xf numFmtId="171" fontId="2" fillId="0" borderId="64" xfId="198" applyNumberFormat="1" applyFont="1" applyFill="1" applyBorder="1" applyAlignment="1">
      <alignment vertical="center"/>
    </xf>
    <xf numFmtId="171" fontId="2" fillId="0" borderId="150" xfId="198" applyNumberFormat="1" applyFont="1" applyFill="1" applyBorder="1" applyAlignment="1">
      <alignment vertical="center"/>
    </xf>
    <xf numFmtId="188" fontId="2" fillId="0" borderId="137" xfId="8" applyNumberFormat="1" applyFont="1" applyBorder="1" applyAlignment="1">
      <alignment vertical="center"/>
    </xf>
    <xf numFmtId="167" fontId="0" fillId="0" borderId="0" xfId="198" applyFont="1"/>
    <xf numFmtId="172" fontId="23" fillId="57" borderId="54" xfId="8" applyNumberFormat="1" applyFont="1" applyFill="1" applyBorder="1" applyAlignment="1">
      <alignment horizontal="centerContinuous" vertical="center" wrapText="1"/>
    </xf>
    <xf numFmtId="167" fontId="14" fillId="19" borderId="4" xfId="8" applyFont="1" applyFill="1" applyBorder="1" applyAlignment="1">
      <alignment vertical="center"/>
    </xf>
    <xf numFmtId="167" fontId="14" fillId="19" borderId="17" xfId="8" applyFont="1" applyFill="1" applyBorder="1" applyAlignment="1">
      <alignment vertical="center"/>
    </xf>
    <xf numFmtId="0" fontId="23" fillId="57" borderId="35" xfId="0" applyFont="1" applyFill="1" applyBorder="1" applyAlignment="1">
      <alignment horizontal="centerContinuous" vertical="center"/>
    </xf>
    <xf numFmtId="0" fontId="23" fillId="57" borderId="10" xfId="0" applyFont="1" applyFill="1" applyBorder="1" applyAlignment="1">
      <alignment horizontal="centerContinuous" vertical="center"/>
    </xf>
    <xf numFmtId="0" fontId="23" fillId="57" borderId="36" xfId="0" applyFont="1" applyFill="1" applyBorder="1" applyAlignment="1">
      <alignment horizontal="centerContinuous" vertical="center"/>
    </xf>
    <xf numFmtId="172" fontId="23" fillId="57" borderId="55" xfId="8" applyNumberFormat="1" applyFont="1" applyFill="1" applyBorder="1" applyAlignment="1">
      <alignment horizontal="centerContinuous" vertical="center" wrapText="1"/>
    </xf>
    <xf numFmtId="172" fontId="23" fillId="57" borderId="115" xfId="8" applyNumberFormat="1" applyFont="1" applyFill="1" applyBorder="1" applyAlignment="1">
      <alignment horizontal="center" vertical="center"/>
    </xf>
    <xf numFmtId="172" fontId="23" fillId="57" borderId="116" xfId="8" applyNumberFormat="1" applyFont="1" applyFill="1" applyBorder="1" applyAlignment="1">
      <alignment horizontal="center" vertical="center"/>
    </xf>
    <xf numFmtId="180" fontId="5" fillId="0" borderId="119" xfId="8" applyNumberFormat="1" applyFont="1" applyBorder="1" applyAlignment="1">
      <alignment vertical="center"/>
    </xf>
    <xf numFmtId="180" fontId="5" fillId="0" borderId="122" xfId="8" applyNumberFormat="1" applyFont="1" applyBorder="1" applyAlignment="1">
      <alignment vertical="center"/>
    </xf>
    <xf numFmtId="180" fontId="5" fillId="0" borderId="125" xfId="8" applyNumberFormat="1" applyFont="1" applyBorder="1" applyAlignment="1">
      <alignment vertical="center"/>
    </xf>
    <xf numFmtId="168" fontId="13" fillId="0" borderId="129" xfId="1" applyNumberFormat="1" applyFont="1" applyBorder="1" applyAlignment="1">
      <alignment horizontal="center" vertical="center"/>
    </xf>
    <xf numFmtId="168" fontId="0" fillId="0" borderId="129" xfId="1" applyNumberFormat="1" applyFont="1" applyBorder="1" applyAlignment="1">
      <alignment horizontal="center" vertical="center"/>
    </xf>
    <xf numFmtId="168" fontId="0" fillId="0" borderId="27" xfId="1" applyNumberFormat="1" applyFont="1" applyBorder="1" applyAlignment="1">
      <alignment horizontal="center" vertical="center"/>
    </xf>
    <xf numFmtId="0" fontId="16" fillId="56" borderId="95" xfId="0" applyFont="1" applyFill="1" applyBorder="1" applyAlignment="1">
      <alignment horizontal="left" vertical="center" wrapText="1" indent="1"/>
    </xf>
    <xf numFmtId="0" fontId="16" fillId="56" borderId="117" xfId="0" applyFont="1" applyFill="1" applyBorder="1" applyAlignment="1">
      <alignment horizontal="left" vertical="center" wrapText="1" indent="1"/>
    </xf>
    <xf numFmtId="0" fontId="16" fillId="56" borderId="95" xfId="0" applyFont="1" applyFill="1" applyBorder="1" applyAlignment="1">
      <alignment horizontal="left" vertical="center" wrapText="1"/>
    </xf>
    <xf numFmtId="0" fontId="16" fillId="56" borderId="117" xfId="0" applyFont="1" applyFill="1" applyBorder="1" applyAlignment="1">
      <alignment horizontal="left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69" xfId="0" applyNumberFormat="1" applyFont="1" applyBorder="1" applyAlignment="1">
      <alignment horizontal="center" vertical="center"/>
    </xf>
    <xf numFmtId="4" fontId="6" fillId="0" borderId="58" xfId="0" applyNumberFormat="1" applyFont="1" applyBorder="1" applyAlignment="1">
      <alignment horizontal="center" vertical="center"/>
    </xf>
    <xf numFmtId="4" fontId="6" fillId="0" borderId="59" xfId="0" applyNumberFormat="1" applyFont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33" fillId="51" borderId="57" xfId="0" applyFont="1" applyFill="1" applyBorder="1" applyAlignment="1">
      <alignment horizontal="center" vertical="center" wrapText="1"/>
    </xf>
    <xf numFmtId="0" fontId="33" fillId="51" borderId="114" xfId="0" applyFont="1" applyFill="1" applyBorder="1" applyAlignment="1">
      <alignment horizontal="center" vertical="center" wrapText="1"/>
    </xf>
    <xf numFmtId="0" fontId="33" fillId="2" borderId="87" xfId="0" applyFont="1" applyFill="1" applyBorder="1" applyAlignment="1">
      <alignment vertical="center" wrapText="1"/>
    </xf>
    <xf numFmtId="0" fontId="33" fillId="2" borderId="88" xfId="0" applyFont="1" applyFill="1" applyBorder="1" applyAlignment="1">
      <alignment vertical="center" wrapText="1"/>
    </xf>
    <xf numFmtId="0" fontId="33" fillId="2" borderId="89" xfId="0" applyFont="1" applyFill="1" applyBorder="1" applyAlignment="1">
      <alignment vertical="center" wrapText="1"/>
    </xf>
    <xf numFmtId="0" fontId="33" fillId="2" borderId="118" xfId="0" applyFont="1" applyFill="1" applyBorder="1" applyAlignment="1">
      <alignment horizontal="left" vertical="center" wrapText="1"/>
    </xf>
    <xf numFmtId="0" fontId="33" fillId="2" borderId="141" xfId="0" applyFont="1" applyFill="1" applyBorder="1" applyAlignment="1">
      <alignment horizontal="left" vertical="center" wrapText="1"/>
    </xf>
    <xf numFmtId="0" fontId="33" fillId="2" borderId="65" xfId="0" applyFont="1" applyFill="1" applyBorder="1" applyAlignment="1">
      <alignment horizontal="left" vertical="center" wrapText="1"/>
    </xf>
    <xf numFmtId="0" fontId="33" fillId="2" borderId="109" xfId="0" applyFont="1" applyFill="1" applyBorder="1" applyAlignment="1">
      <alignment vertical="center" wrapText="1"/>
    </xf>
    <xf numFmtId="0" fontId="33" fillId="2" borderId="110" xfId="0" applyFont="1" applyFill="1" applyBorder="1" applyAlignment="1">
      <alignment vertical="center" wrapText="1"/>
    </xf>
    <xf numFmtId="0" fontId="33" fillId="2" borderId="111" xfId="0" applyFont="1" applyFill="1" applyBorder="1" applyAlignment="1">
      <alignment vertical="center" wrapText="1"/>
    </xf>
    <xf numFmtId="0" fontId="33" fillId="2" borderId="84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64" xfId="0" applyFont="1" applyFill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172" fontId="23" fillId="51" borderId="49" xfId="8" applyNumberFormat="1" applyFont="1" applyFill="1" applyBorder="1" applyAlignment="1">
      <alignment horizontal="center" vertical="center" wrapText="1"/>
    </xf>
    <xf numFmtId="172" fontId="23" fillId="51" borderId="50" xfId="8" applyNumberFormat="1" applyFont="1" applyFill="1" applyBorder="1" applyAlignment="1">
      <alignment horizontal="center" vertical="center" wrapText="1"/>
    </xf>
    <xf numFmtId="172" fontId="23" fillId="51" borderId="128" xfId="8" applyNumberFormat="1" applyFont="1" applyFill="1" applyBorder="1" applyAlignment="1">
      <alignment horizontal="center" vertical="center" wrapText="1"/>
    </xf>
    <xf numFmtId="172" fontId="23" fillId="51" borderId="116" xfId="8" applyNumberFormat="1" applyFont="1" applyFill="1" applyBorder="1" applyAlignment="1">
      <alignment horizontal="center" vertical="center" wrapText="1"/>
    </xf>
    <xf numFmtId="172" fontId="23" fillId="51" borderId="57" xfId="8" applyNumberFormat="1" applyFont="1" applyFill="1" applyBorder="1" applyAlignment="1">
      <alignment horizontal="center" vertical="center" wrapText="1"/>
    </xf>
    <xf numFmtId="172" fontId="23" fillId="51" borderId="114" xfId="8" applyNumberFormat="1" applyFont="1" applyFill="1" applyBorder="1" applyAlignment="1">
      <alignment horizontal="center" vertical="center" wrapText="1"/>
    </xf>
    <xf numFmtId="172" fontId="23" fillId="51" borderId="16" xfId="315" applyNumberFormat="1" applyFont="1" applyFill="1" applyBorder="1" applyAlignment="1">
      <alignment horizontal="center" vertical="center" wrapText="1"/>
    </xf>
    <xf numFmtId="172" fontId="23" fillId="51" borderId="133" xfId="315" applyNumberFormat="1" applyFont="1" applyFill="1" applyBorder="1" applyAlignment="1">
      <alignment horizontal="center" vertical="center" wrapText="1"/>
    </xf>
    <xf numFmtId="172" fontId="23" fillId="51" borderId="49" xfId="315" applyNumberFormat="1" applyFont="1" applyFill="1" applyBorder="1" applyAlignment="1">
      <alignment horizontal="center" vertical="center" wrapText="1"/>
    </xf>
    <xf numFmtId="172" fontId="23" fillId="51" borderId="50" xfId="315" applyNumberFormat="1" applyFont="1" applyFill="1" applyBorder="1" applyAlignment="1">
      <alignment horizontal="center" vertical="center" wrapText="1"/>
    </xf>
    <xf numFmtId="172" fontId="23" fillId="57" borderId="49" xfId="8" applyNumberFormat="1" applyFont="1" applyFill="1" applyBorder="1" applyAlignment="1">
      <alignment horizontal="center" vertical="center" wrapText="1"/>
    </xf>
    <xf numFmtId="172" fontId="23" fillId="57" borderId="50" xfId="8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24" fillId="0" borderId="141" xfId="0" applyFont="1" applyBorder="1" applyAlignment="1">
      <alignment horizontal="left" wrapText="1"/>
    </xf>
  </cellXfs>
  <cellStyles count="320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Millares 6 2" xfId="318" xr:uid="{BB1B3749-E858-418E-BCDC-3B6D9D54F152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1 3 2" xfId="319" xr:uid="{9E142B36-FC0F-44B4-85D0-A1FC7050A74A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3 4 2" xfId="317" xr:uid="{21156E3A-771B-475E-A442-A9426CFC85CD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8080"/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20.827826280590621</c:v>
                </c:pt>
                <c:pt idx="1">
                  <c:v>13.583213921583912</c:v>
                </c:pt>
                <c:pt idx="2">
                  <c:v>5.9288802701968804</c:v>
                </c:pt>
                <c:pt idx="3">
                  <c:v>4.82355985978087</c:v>
                </c:pt>
                <c:pt idx="4">
                  <c:v>0.1315580599688399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49.334800810616237</c:v>
                </c:pt>
                <c:pt idx="1">
                  <c:v>30.373253549089952</c:v>
                </c:pt>
                <c:pt idx="2">
                  <c:v>23.35405233289519</c:v>
                </c:pt>
                <c:pt idx="3">
                  <c:v>18.526646348907011</c:v>
                </c:pt>
                <c:pt idx="4">
                  <c:v>0.43080318587252209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37.251978159846736</c:v>
                </c:pt>
                <c:pt idx="1">
                  <c:v>23.911124546728693</c:v>
                </c:pt>
                <c:pt idx="2">
                  <c:v>16.284985781000206</c:v>
                </c:pt>
                <c:pt idx="3">
                  <c:v>13.086740396039355</c:v>
                </c:pt>
                <c:pt idx="4">
                  <c:v>0.34029689352504244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28.310045329203373</c:v>
                </c:pt>
                <c:pt idx="1">
                  <c:v>17.741274498493485</c:v>
                </c:pt>
                <c:pt idx="2">
                  <c:v>13.944812220290693</c:v>
                </c:pt>
                <c:pt idx="3">
                  <c:v>10.592233139921543</c:v>
                </c:pt>
                <c:pt idx="4">
                  <c:v>0.29743895308354756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25.869042613981382</c:v>
                </c:pt>
                <c:pt idx="1">
                  <c:v>14.566340987669609</c:v>
                </c:pt>
                <c:pt idx="2">
                  <c:v>11.188378005793219</c:v>
                </c:pt>
                <c:pt idx="3">
                  <c:v>10.18187195191164</c:v>
                </c:pt>
                <c:pt idx="4">
                  <c:v>0.28593558823721599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104.87518588685494</c:v>
                </c:pt>
                <c:pt idx="1">
                  <c:v>54.621651903598959</c:v>
                </c:pt>
                <c:pt idx="2">
                  <c:v>32.723523910197599</c:v>
                </c:pt>
                <c:pt idx="3">
                  <c:v>23.854728781766568</c:v>
                </c:pt>
                <c:pt idx="4">
                  <c:v>1.5512966630323088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105.75104417315568</c:v>
                </c:pt>
                <c:pt idx="1">
                  <c:v>54.912005894339195</c:v>
                </c:pt>
                <c:pt idx="2">
                  <c:v>35.272102742755742</c:v>
                </c:pt>
                <c:pt idx="3">
                  <c:v>25.760812318659642</c:v>
                </c:pt>
                <c:pt idx="4">
                  <c:v>1.6404936866873785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108.70620214465337</c:v>
                </c:pt>
                <c:pt idx="1">
                  <c:v>56.385198743037499</c:v>
                </c:pt>
                <c:pt idx="2">
                  <c:v>35.147491602622637</c:v>
                </c:pt>
                <c:pt idx="3">
                  <c:v>25.778696753956972</c:v>
                </c:pt>
                <c:pt idx="4">
                  <c:v>1.6347492476787684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100.82819784676951</c:v>
                </c:pt>
                <c:pt idx="1">
                  <c:v>54.582405469701378</c:v>
                </c:pt>
                <c:pt idx="2">
                  <c:v>35.127959791263187</c:v>
                </c:pt>
                <c:pt idx="3">
                  <c:v>25.27507584439358</c:v>
                </c:pt>
                <c:pt idx="4">
                  <c:v>1.6448668433663018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98.371740241040598</c:v>
                </c:pt>
                <c:pt idx="1">
                  <c:v>53.987160180605095</c:v>
                </c:pt>
                <c:pt idx="2">
                  <c:v>34.458208907878983</c:v>
                </c:pt>
                <c:pt idx="3">
                  <c:v>24.787031691061877</c:v>
                </c:pt>
                <c:pt idx="4">
                  <c:v>1.5615702358468755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6.2125203552031882</c:v>
                </c:pt>
                <c:pt idx="1">
                  <c:v>3.9702836400049013</c:v>
                </c:pt>
                <c:pt idx="2">
                  <c:v>1.7043290401077735</c:v>
                </c:pt>
                <c:pt idx="3">
                  <c:v>1.4466080979522016</c:v>
                </c:pt>
                <c:pt idx="4">
                  <c:v>4.2818244872276992E-2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51.793271959967029</c:v>
                </c:pt>
                <c:pt idx="1">
                  <c:v>32.241665921181557</c:v>
                </c:pt>
                <c:pt idx="2">
                  <c:v>25.167276203755296</c:v>
                </c:pt>
                <c:pt idx="3">
                  <c:v>19.878087144257648</c:v>
                </c:pt>
                <c:pt idx="4">
                  <c:v>0.57488459304715711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51.030085151972663</c:v>
                </c:pt>
                <c:pt idx="1">
                  <c:v>34.72592778973592</c:v>
                </c:pt>
                <c:pt idx="2">
                  <c:v>21.515507803967207</c:v>
                </c:pt>
                <c:pt idx="3">
                  <c:v>18.271358645554081</c:v>
                </c:pt>
                <c:pt idx="4">
                  <c:v>0.76374038169116776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16.860783539564771</c:v>
                </c:pt>
                <c:pt idx="1">
                  <c:v>10.386921451432535</c:v>
                </c:pt>
                <c:pt idx="2">
                  <c:v>8.5808360091121365</c:v>
                </c:pt>
                <c:pt idx="3">
                  <c:v>7.0443926758069795</c:v>
                </c:pt>
                <c:pt idx="4">
                  <c:v>0.3297194170122662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101.69801095093574</c:v>
                </c:pt>
                <c:pt idx="1">
                  <c:v>54.826218091585538</c:v>
                </c:pt>
                <c:pt idx="2">
                  <c:v>32.244537332751939</c:v>
                </c:pt>
                <c:pt idx="3">
                  <c:v>23.363738180638101</c:v>
                </c:pt>
                <c:pt idx="4">
                  <c:v>1.8889066807870549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102.5448277540133</c:v>
                </c:pt>
                <c:pt idx="1">
                  <c:v>55.116034312955151</c:v>
                </c:pt>
                <c:pt idx="2">
                  <c:v>34.755500996288525</c:v>
                </c:pt>
                <c:pt idx="3">
                  <c:v>25.230245318165114</c:v>
                </c:pt>
                <c:pt idx="4">
                  <c:v>1.9974170060915615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148.19335262087</c:v>
                </c:pt>
                <c:pt idx="1">
                  <c:v>84.238800370840167</c:v>
                </c:pt>
                <c:pt idx="2">
                  <c:v>44.883971971108011</c:v>
                </c:pt>
                <c:pt idx="3">
                  <c:v>34.321422336934951</c:v>
                </c:pt>
                <c:pt idx="4">
                  <c:v>3.6319381067559964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57.942838599119433</c:v>
                </c:pt>
                <c:pt idx="1">
                  <c:v>31.608587982997438</c:v>
                </c:pt>
                <c:pt idx="2">
                  <c:v>19.963711035365581</c:v>
                </c:pt>
                <c:pt idx="3">
                  <c:v>15.12368975733507</c:v>
                </c:pt>
                <c:pt idx="4">
                  <c:v>1.7171561778286422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12.839662469834714</c:v>
                </c:pt>
                <c:pt idx="1">
                  <c:v>8.2272228672941399</c:v>
                </c:pt>
                <c:pt idx="2">
                  <c:v>3.539504620439089</c:v>
                </c:pt>
                <c:pt idx="3">
                  <c:v>2.9876727648258039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63.227492072670017</c:v>
                </c:pt>
                <c:pt idx="1">
                  <c:v>39.253382378721845</c:v>
                </c:pt>
                <c:pt idx="2">
                  <c:v>30.529065851430612</c:v>
                </c:pt>
                <c:pt idx="3">
                  <c:v>24.138389191150914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2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30.674572796626297</c:v>
                </c:pt>
                <c:pt idx="1">
                  <c:v>19.066141478628847</c:v>
                </c:pt>
                <c:pt idx="2">
                  <c:v>15.350691871787737</c:v>
                </c:pt>
                <c:pt idx="3">
                  <c:v>12.120817653346609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3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37.587779508774091</c:v>
                </c:pt>
                <c:pt idx="1">
                  <c:v>21.164926244132182</c:v>
                </c:pt>
                <c:pt idx="2">
                  <c:v>16.256739317096244</c:v>
                </c:pt>
                <c:pt idx="3">
                  <c:v>14.794285655524877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102.45299145299145</c:v>
                </c:pt>
                <c:pt idx="1">
                  <c:v>54.786324786324791</c:v>
                </c:pt>
                <c:pt idx="2">
                  <c:v>32.363247863247864</c:v>
                </c:pt>
                <c:pt idx="3">
                  <c:v>23.482905982905983</c:v>
                </c:pt>
                <c:pt idx="4">
                  <c:v>1.811965811965812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103.29716981132074</c:v>
                </c:pt>
                <c:pt idx="1">
                  <c:v>55.070754716981128</c:v>
                </c:pt>
                <c:pt idx="2">
                  <c:v>34.877358490566039</c:v>
                </c:pt>
                <c:pt idx="3">
                  <c:v>25.358490566037734</c:v>
                </c:pt>
                <c:pt idx="4">
                  <c:v>1.9150943396226414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131.9111111111111</c:v>
                </c:pt>
                <c:pt idx="1">
                  <c:v>72.555555555555543</c:v>
                </c:pt>
                <c:pt idx="2">
                  <c:v>40.955555555555556</c:v>
                </c:pt>
                <c:pt idx="3">
                  <c:v>30.822222222222219</c:v>
                </c:pt>
                <c:pt idx="4">
                  <c:v>2.7666666666666662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74.278571428571439</c:v>
                </c:pt>
                <c:pt idx="1">
                  <c:v>40.364285714285714</c:v>
                </c:pt>
                <c:pt idx="2">
                  <c:v>25.735714285714288</c:v>
                </c:pt>
                <c:pt idx="3">
                  <c:v>18.992857142857144</c:v>
                </c:pt>
                <c:pt idx="4">
                  <c:v>1.7000000000000002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98.393258426966284</c:v>
                </c:pt>
                <c:pt idx="1">
                  <c:v>54.000000000000007</c:v>
                </c:pt>
                <c:pt idx="2">
                  <c:v>34.460674157303373</c:v>
                </c:pt>
                <c:pt idx="3">
                  <c:v>24.786516853932586</c:v>
                </c:pt>
                <c:pt idx="4">
                  <c:v>1.5617977528089888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1089406</xdr:colOff>
      <xdr:row>3</xdr:row>
      <xdr:rowOff>100711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CD6983-86F7-4977-908D-ED1152C93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3976" cy="58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CD532A-74D1-486F-9B59-7EAA4F02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5903976" cy="573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249933</xdr:colOff>
      <xdr:row>3</xdr:row>
      <xdr:rowOff>97533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60"/>
  <sheetViews>
    <sheetView showGridLines="0" tabSelected="1" zoomScale="80" zoomScaleNormal="80" zoomScaleSheetLayoutView="115" workbookViewId="0">
      <selection activeCell="F7" sqref="F7"/>
    </sheetView>
  </sheetViews>
  <sheetFormatPr baseColWidth="10" defaultColWidth="11.3984375" defaultRowHeight="12.75" x14ac:dyDescent="0.35"/>
  <cols>
    <col min="1" max="1" width="20.3984375" style="1" customWidth="1"/>
    <col min="2" max="2" width="18.3984375" style="1" customWidth="1"/>
    <col min="3" max="3" width="18.3984375" style="1" bestFit="1" customWidth="1"/>
    <col min="4" max="4" width="15.1328125" style="1" customWidth="1"/>
    <col min="5" max="5" width="17.265625" style="1" customWidth="1"/>
    <col min="6" max="6" width="14.59765625" style="1" customWidth="1"/>
    <col min="7" max="7" width="13.1328125" style="1" bestFit="1" customWidth="1"/>
    <col min="8" max="8" width="13.73046875" style="1" customWidth="1"/>
    <col min="9" max="9" width="14.1328125" style="1" customWidth="1"/>
    <col min="10" max="10" width="10.73046875" style="1" bestFit="1" customWidth="1"/>
    <col min="11" max="11" width="17.59765625" style="1" customWidth="1"/>
    <col min="12" max="16384" width="11.3984375" style="1"/>
  </cols>
  <sheetData>
    <row r="6" spans="1:8" s="4" customFormat="1" ht="30" customHeight="1" x14ac:dyDescent="0.35">
      <c r="A6" s="368" t="s">
        <v>183</v>
      </c>
      <c r="B6" s="368"/>
    </row>
    <row r="7" spans="1:8" ht="5.25" customHeight="1" x14ac:dyDescent="0.35"/>
    <row r="8" spans="1:8" s="2" customFormat="1" ht="19.5" customHeight="1" x14ac:dyDescent="0.35">
      <c r="A8" s="5" t="s">
        <v>107</v>
      </c>
      <c r="B8" s="5"/>
    </row>
    <row r="9" spans="1:8" ht="5.25" customHeight="1" x14ac:dyDescent="0.35">
      <c r="D9" s="2"/>
      <c r="E9" s="2"/>
      <c r="F9" s="2"/>
      <c r="G9" s="2"/>
      <c r="H9" s="2"/>
    </row>
    <row r="10" spans="1:8" s="2" customFormat="1" ht="19.5" customHeight="1" x14ac:dyDescent="0.35">
      <c r="A10" s="5" t="s">
        <v>108</v>
      </c>
      <c r="B10" s="5"/>
    </row>
    <row r="11" spans="1:8" ht="13.5" thickBot="1" x14ac:dyDescent="0.4">
      <c r="D11" s="2"/>
      <c r="E11" s="2"/>
      <c r="F11" s="2"/>
      <c r="G11" s="2"/>
      <c r="H11" s="2"/>
    </row>
    <row r="12" spans="1:8" s="25" customFormat="1" ht="53.65" customHeight="1" thickBot="1" x14ac:dyDescent="0.4">
      <c r="C12" s="545" t="s">
        <v>231</v>
      </c>
      <c r="D12" s="2"/>
      <c r="E12" s="2"/>
      <c r="F12" s="2"/>
      <c r="G12" s="2"/>
    </row>
    <row r="13" spans="1:8" s="25" customFormat="1" ht="7.5" customHeight="1" thickBot="1" x14ac:dyDescent="0.4">
      <c r="D13" s="2"/>
      <c r="E13" s="2"/>
      <c r="F13" s="2"/>
      <c r="G13" s="2"/>
    </row>
    <row r="14" spans="1:8" s="26" customFormat="1" ht="46.5" customHeight="1" x14ac:dyDescent="0.35">
      <c r="A14" s="601" t="s">
        <v>35</v>
      </c>
      <c r="B14" s="602"/>
      <c r="C14" s="544">
        <f>C15+C18+C19</f>
        <v>1183148.3545338453</v>
      </c>
      <c r="D14" s="481"/>
      <c r="E14" s="580"/>
      <c r="F14" s="305"/>
      <c r="G14" s="2"/>
    </row>
    <row r="15" spans="1:8" s="27" customFormat="1" ht="20.25" customHeight="1" x14ac:dyDescent="0.35">
      <c r="A15" s="404" t="s">
        <v>24</v>
      </c>
      <c r="B15" s="405"/>
      <c r="C15" s="565">
        <f>SUM(C16:C17)</f>
        <v>1250060.7493743196</v>
      </c>
      <c r="D15" s="2"/>
      <c r="E15" s="2"/>
      <c r="F15" s="2"/>
      <c r="G15" s="2"/>
    </row>
    <row r="16" spans="1:8" s="28" customFormat="1" ht="20.25" customHeight="1" x14ac:dyDescent="0.35">
      <c r="A16" s="406" t="s">
        <v>24</v>
      </c>
      <c r="B16" s="407"/>
      <c r="C16" s="408">
        <v>1250060.7493743196</v>
      </c>
      <c r="D16" s="2"/>
      <c r="E16" s="2"/>
      <c r="F16" s="2"/>
      <c r="G16" s="2"/>
    </row>
    <row r="17" spans="1:10" s="28" customFormat="1" ht="20.25" customHeight="1" x14ac:dyDescent="0.35">
      <c r="A17" s="406" t="s">
        <v>29</v>
      </c>
      <c r="B17" s="407"/>
      <c r="C17" s="408"/>
      <c r="D17" s="2"/>
      <c r="E17" s="2"/>
      <c r="F17" s="2"/>
      <c r="G17" s="2"/>
    </row>
    <row r="18" spans="1:10" s="27" customFormat="1" ht="20.25" customHeight="1" x14ac:dyDescent="0.35">
      <c r="A18" s="409" t="s">
        <v>25</v>
      </c>
      <c r="B18" s="410"/>
      <c r="C18" s="566">
        <v>-19382.378412511913</v>
      </c>
      <c r="D18" s="2"/>
      <c r="E18" s="578"/>
      <c r="F18" s="539"/>
      <c r="G18" s="2"/>
    </row>
    <row r="19" spans="1:10" s="27" customFormat="1" ht="20.25" customHeight="1" x14ac:dyDescent="0.35">
      <c r="A19" s="409" t="s">
        <v>26</v>
      </c>
      <c r="B19" s="410"/>
      <c r="C19" s="566">
        <f>C20+C21+C25</f>
        <v>-47530.016427962357</v>
      </c>
      <c r="D19" s="2"/>
      <c r="E19" s="579"/>
      <c r="F19" s="2"/>
      <c r="G19" s="2"/>
    </row>
    <row r="20" spans="1:10" s="27" customFormat="1" ht="20.25" customHeight="1" x14ac:dyDescent="0.35">
      <c r="A20" s="406" t="s">
        <v>34</v>
      </c>
      <c r="B20" s="410"/>
      <c r="C20" s="581">
        <v>0</v>
      </c>
      <c r="D20" s="2"/>
      <c r="E20" s="579"/>
      <c r="F20" s="2"/>
      <c r="G20" s="2"/>
    </row>
    <row r="21" spans="1:10" s="27" customFormat="1" ht="20.25" customHeight="1" x14ac:dyDescent="0.35">
      <c r="A21" s="406" t="s">
        <v>131</v>
      </c>
      <c r="B21" s="410"/>
      <c r="C21" s="575">
        <v>-41845.598718715832</v>
      </c>
      <c r="D21" s="2"/>
      <c r="E21" s="579"/>
      <c r="F21" s="2"/>
      <c r="G21" s="2"/>
    </row>
    <row r="22" spans="1:10" s="27" customFormat="1" ht="20.25" customHeight="1" x14ac:dyDescent="0.35">
      <c r="A22" s="543" t="s">
        <v>225</v>
      </c>
      <c r="B22" s="542"/>
      <c r="C22" s="576"/>
      <c r="E22" s="579"/>
      <c r="F22" s="2"/>
      <c r="G22" s="2"/>
    </row>
    <row r="23" spans="1:10" s="27" customFormat="1" ht="20.25" customHeight="1" x14ac:dyDescent="0.35">
      <c r="A23" s="543" t="s">
        <v>224</v>
      </c>
      <c r="B23" s="542"/>
      <c r="C23" s="576"/>
      <c r="D23" s="2"/>
      <c r="E23" s="579"/>
      <c r="F23" s="2"/>
      <c r="G23" s="2"/>
    </row>
    <row r="24" spans="1:10" s="27" customFormat="1" ht="20.25" customHeight="1" x14ac:dyDescent="0.35">
      <c r="A24" s="543" t="s">
        <v>223</v>
      </c>
      <c r="B24" s="542"/>
      <c r="C24" s="576"/>
      <c r="D24" s="2"/>
      <c r="E24" s="579"/>
      <c r="F24" s="2"/>
      <c r="G24" s="2"/>
      <c r="J24" s="42"/>
    </row>
    <row r="25" spans="1:10" s="27" customFormat="1" ht="20.25" customHeight="1" thickBot="1" x14ac:dyDescent="0.4">
      <c r="A25" s="411" t="s">
        <v>27</v>
      </c>
      <c r="B25" s="412"/>
      <c r="C25" s="577">
        <v>-5684.4177092465279</v>
      </c>
      <c r="D25" s="2"/>
      <c r="E25" s="579"/>
      <c r="F25" s="2"/>
      <c r="G25" s="2"/>
    </row>
    <row r="26" spans="1:10" s="27" customFormat="1" ht="13.15" x14ac:dyDescent="0.35">
      <c r="A26" s="188" t="s">
        <v>232</v>
      </c>
      <c r="C26" s="190"/>
      <c r="D26" s="2"/>
      <c r="E26" s="579"/>
      <c r="F26" s="2"/>
      <c r="G26" s="2"/>
    </row>
    <row r="27" spans="1:10" s="25" customFormat="1" ht="13.15" x14ac:dyDescent="0.35">
      <c r="D27" s="2"/>
      <c r="E27" s="2"/>
      <c r="F27" s="2"/>
      <c r="G27" s="2"/>
    </row>
    <row r="28" spans="1:10" s="25" customFormat="1" ht="15" x14ac:dyDescent="0.35">
      <c r="A28" s="5" t="s">
        <v>109</v>
      </c>
      <c r="B28" s="5"/>
      <c r="C28" s="2"/>
      <c r="D28" s="2"/>
      <c r="E28" s="2"/>
      <c r="F28" s="2"/>
      <c r="G28" s="2"/>
    </row>
    <row r="29" spans="1:10" s="25" customFormat="1" ht="13.5" thickBot="1" x14ac:dyDescent="0.4">
      <c r="D29" s="2"/>
      <c r="E29" s="2"/>
      <c r="F29" s="2"/>
    </row>
    <row r="30" spans="1:10" s="25" customFormat="1" ht="48.75" customHeight="1" thickBot="1" x14ac:dyDescent="0.4">
      <c r="C30" s="545" t="s">
        <v>231</v>
      </c>
      <c r="D30" s="2"/>
      <c r="E30" s="2"/>
      <c r="F30" s="2"/>
      <c r="G30" s="2"/>
    </row>
    <row r="31" spans="1:10" s="25" customFormat="1" ht="7.5" customHeight="1" thickBot="1" x14ac:dyDescent="0.4">
      <c r="D31" s="2"/>
      <c r="E31" s="2"/>
      <c r="F31" s="2"/>
      <c r="G31" s="2"/>
    </row>
    <row r="32" spans="1:10" s="26" customFormat="1" ht="48.75" customHeight="1" x14ac:dyDescent="0.35">
      <c r="A32" s="603" t="s">
        <v>32</v>
      </c>
      <c r="B32" s="604"/>
      <c r="C32" s="546">
        <f>C33+C36</f>
        <v>5194086.4348116023</v>
      </c>
      <c r="D32" s="2"/>
      <c r="E32" s="481"/>
      <c r="F32" s="305"/>
      <c r="H32" s="41"/>
    </row>
    <row r="33" spans="1:9" s="27" customFormat="1" ht="20.25" customHeight="1" x14ac:dyDescent="0.35">
      <c r="A33" s="404" t="s">
        <v>31</v>
      </c>
      <c r="B33" s="405"/>
      <c r="C33" s="565">
        <v>5609690.9238180984</v>
      </c>
      <c r="D33" s="2"/>
      <c r="E33" s="2"/>
      <c r="F33" s="2"/>
      <c r="I33" s="42"/>
    </row>
    <row r="34" spans="1:9" s="28" customFormat="1" ht="20.25" customHeight="1" x14ac:dyDescent="0.35">
      <c r="A34" s="413" t="s">
        <v>30</v>
      </c>
      <c r="B34" s="407"/>
      <c r="C34" s="408"/>
      <c r="D34" s="2"/>
      <c r="E34" s="2"/>
      <c r="F34" s="2"/>
    </row>
    <row r="35" spans="1:9" s="28" customFormat="1" ht="20.25" customHeight="1" x14ac:dyDescent="0.35">
      <c r="A35" s="413"/>
      <c r="B35" s="407"/>
      <c r="C35" s="408"/>
      <c r="D35" s="2"/>
      <c r="E35" s="2"/>
      <c r="F35" s="2"/>
    </row>
    <row r="36" spans="1:9" s="27" customFormat="1" ht="20.25" customHeight="1" x14ac:dyDescent="0.35">
      <c r="A36" s="414" t="s">
        <v>28</v>
      </c>
      <c r="B36" s="410"/>
      <c r="C36" s="566">
        <f>C37+C38</f>
        <v>-415604.48900649603</v>
      </c>
      <c r="D36" s="2"/>
      <c r="E36" s="2"/>
      <c r="F36" s="2"/>
    </row>
    <row r="37" spans="1:9" s="27" customFormat="1" ht="20.25" customHeight="1" x14ac:dyDescent="0.35">
      <c r="A37" s="406" t="s">
        <v>34</v>
      </c>
      <c r="B37" s="410"/>
      <c r="C37" s="567">
        <v>-132035.54537947229</v>
      </c>
      <c r="E37" s="2"/>
      <c r="F37" s="2"/>
    </row>
    <row r="38" spans="1:9" s="27" customFormat="1" ht="20.25" customHeight="1" x14ac:dyDescent="0.35">
      <c r="A38" s="406" t="s">
        <v>33</v>
      </c>
      <c r="B38" s="410"/>
      <c r="C38" s="568">
        <v>-283568.94362702378</v>
      </c>
      <c r="E38" s="2"/>
      <c r="F38" s="2"/>
    </row>
    <row r="39" spans="1:9" s="27" customFormat="1" ht="20.25" customHeight="1" x14ac:dyDescent="0.35">
      <c r="A39" s="543" t="s">
        <v>33</v>
      </c>
      <c r="B39" s="410"/>
      <c r="C39" s="582"/>
      <c r="E39" s="2"/>
      <c r="F39" s="2"/>
    </row>
    <row r="40" spans="1:9" s="27" customFormat="1" ht="20.25" customHeight="1" x14ac:dyDescent="0.35">
      <c r="A40" s="543" t="s">
        <v>224</v>
      </c>
      <c r="B40" s="410"/>
      <c r="C40" s="568"/>
      <c r="D40" s="2"/>
      <c r="E40" s="2"/>
      <c r="F40" s="2"/>
    </row>
    <row r="41" spans="1:9" s="27" customFormat="1" ht="20.25" customHeight="1" thickBot="1" x14ac:dyDescent="0.4">
      <c r="A41" s="415" t="s">
        <v>223</v>
      </c>
      <c r="B41" s="412"/>
      <c r="C41" s="583"/>
      <c r="D41" s="2"/>
      <c r="E41" s="2"/>
      <c r="F41" s="2"/>
    </row>
    <row r="42" spans="1:9" s="26" customFormat="1" x14ac:dyDescent="0.35">
      <c r="A42" s="188" t="s">
        <v>226</v>
      </c>
    </row>
    <row r="43" spans="1:9" ht="13.15" x14ac:dyDescent="0.35">
      <c r="A43" s="13"/>
      <c r="B43" s="14"/>
      <c r="E43" s="2"/>
      <c r="F43" s="2"/>
      <c r="G43" s="2"/>
      <c r="H43" s="2"/>
    </row>
    <row r="44" spans="1:9" s="2" customFormat="1" ht="15" customHeight="1" x14ac:dyDescent="0.35">
      <c r="A44" s="5" t="s">
        <v>116</v>
      </c>
      <c r="B44" s="5"/>
    </row>
    <row r="45" spans="1:9" ht="13.15" thickBot="1" x14ac:dyDescent="0.4"/>
    <row r="46" spans="1:9" s="2" customFormat="1" ht="30.75" customHeight="1" x14ac:dyDescent="0.35">
      <c r="A46" s="417" t="s">
        <v>0</v>
      </c>
      <c r="B46" s="418" t="s">
        <v>8</v>
      </c>
      <c r="C46" s="1"/>
      <c r="D46" s="1"/>
      <c r="E46" s="1"/>
      <c r="F46" s="1"/>
      <c r="G46" s="1"/>
    </row>
    <row r="47" spans="1:9" ht="15" customHeight="1" x14ac:dyDescent="0.35">
      <c r="A47" s="56" t="s">
        <v>48</v>
      </c>
      <c r="B47" s="49">
        <v>0.38319999999999999</v>
      </c>
      <c r="D47" s="48"/>
    </row>
    <row r="48" spans="1:9" ht="15" customHeight="1" x14ac:dyDescent="0.35">
      <c r="A48" s="45" t="s">
        <v>36</v>
      </c>
      <c r="B48" s="50">
        <v>0.40570000000000001</v>
      </c>
      <c r="D48" s="48"/>
    </row>
    <row r="49" spans="1:4" ht="15" customHeight="1" x14ac:dyDescent="0.35">
      <c r="A49" s="45" t="s">
        <v>37</v>
      </c>
      <c r="B49" s="50">
        <v>0.11609999999999999</v>
      </c>
      <c r="D49" s="48"/>
    </row>
    <row r="50" spans="1:4" ht="15" customHeight="1" x14ac:dyDescent="0.35">
      <c r="A50" s="3" t="s">
        <v>38</v>
      </c>
      <c r="B50" s="50">
        <v>9.5000000000000001E-2</v>
      </c>
      <c r="D50" s="48"/>
    </row>
    <row r="51" spans="1:4" ht="15" customHeight="1" thickBot="1" x14ac:dyDescent="0.4">
      <c r="A51" s="54" t="s">
        <v>39</v>
      </c>
      <c r="B51" s="51">
        <v>0</v>
      </c>
      <c r="D51" s="48"/>
    </row>
    <row r="52" spans="1:4" ht="10.5" customHeight="1" thickBot="1" x14ac:dyDescent="0.4"/>
    <row r="53" spans="1:4" ht="15" customHeight="1" thickBot="1" x14ac:dyDescent="0.4">
      <c r="A53" s="53" t="s">
        <v>1</v>
      </c>
      <c r="B53" s="52">
        <f>SUM(B47:B51)</f>
        <v>0.99999999999999989</v>
      </c>
      <c r="D53" s="48"/>
    </row>
    <row r="54" spans="1:4" ht="20.25" customHeight="1" x14ac:dyDescent="0.35">
      <c r="A54" s="188" t="s">
        <v>114</v>
      </c>
      <c r="B54" s="16"/>
    </row>
    <row r="55" spans="1:4" x14ac:dyDescent="0.35">
      <c r="A55" s="188"/>
      <c r="B55" s="22"/>
    </row>
    <row r="56" spans="1:4" ht="14.25" customHeight="1" x14ac:dyDescent="0.35"/>
    <row r="57" spans="1:4" s="2" customFormat="1" ht="15" customHeight="1" x14ac:dyDescent="0.35">
      <c r="A57" s="5" t="s">
        <v>115</v>
      </c>
      <c r="B57" s="5"/>
    </row>
    <row r="58" spans="1:4" ht="5.25" customHeight="1" thickBot="1" x14ac:dyDescent="0.4"/>
    <row r="59" spans="1:4" s="2" customFormat="1" ht="22.5" customHeight="1" x14ac:dyDescent="0.35">
      <c r="A59" s="607" t="s">
        <v>0</v>
      </c>
      <c r="B59" s="30" t="s">
        <v>5</v>
      </c>
      <c r="C59" s="30"/>
      <c r="D59" s="29"/>
    </row>
    <row r="60" spans="1:4" s="2" customFormat="1" ht="27" customHeight="1" x14ac:dyDescent="0.35">
      <c r="A60" s="608"/>
      <c r="B60" s="31" t="s">
        <v>6</v>
      </c>
      <c r="C60" s="31" t="s">
        <v>7</v>
      </c>
      <c r="D60" s="32" t="s">
        <v>4</v>
      </c>
    </row>
    <row r="61" spans="1:4" ht="15" customHeight="1" x14ac:dyDescent="0.35">
      <c r="A61" s="56" t="s">
        <v>48</v>
      </c>
      <c r="B61" s="19">
        <v>1</v>
      </c>
      <c r="C61" s="19">
        <f>1-B61</f>
        <v>0</v>
      </c>
      <c r="D61" s="7">
        <f>SUM(B61:C61)</f>
        <v>1</v>
      </c>
    </row>
    <row r="62" spans="1:4" ht="15" customHeight="1" x14ac:dyDescent="0.35">
      <c r="A62" s="45" t="s">
        <v>36</v>
      </c>
      <c r="B62" s="20">
        <v>0.75</v>
      </c>
      <c r="C62" s="20">
        <f>1-B62</f>
        <v>0.25</v>
      </c>
      <c r="D62" s="8">
        <f>SUM(B62:C62)</f>
        <v>1</v>
      </c>
    </row>
    <row r="63" spans="1:4" ht="15" customHeight="1" x14ac:dyDescent="0.35">
      <c r="A63" s="45" t="s">
        <v>37</v>
      </c>
      <c r="B63" s="20">
        <v>0.75</v>
      </c>
      <c r="C63" s="20">
        <f>1-B63</f>
        <v>0.25</v>
      </c>
      <c r="D63" s="8">
        <f>SUM(B63:C63)</f>
        <v>1</v>
      </c>
    </row>
    <row r="64" spans="1:4" ht="15" customHeight="1" x14ac:dyDescent="0.35">
      <c r="A64" s="3" t="s">
        <v>38</v>
      </c>
      <c r="B64" s="20">
        <v>0.75</v>
      </c>
      <c r="C64" s="20">
        <f>1-B64</f>
        <v>0.25</v>
      </c>
      <c r="D64" s="8">
        <f>SUM(B64:C64)</f>
        <v>1</v>
      </c>
    </row>
    <row r="65" spans="1:12" ht="15" customHeight="1" thickBot="1" x14ac:dyDescent="0.4">
      <c r="A65" s="54" t="s">
        <v>39</v>
      </c>
      <c r="B65" s="21">
        <v>0.75</v>
      </c>
      <c r="C65" s="21">
        <f>1-B65</f>
        <v>0.25</v>
      </c>
      <c r="D65" s="9">
        <f>SUM(B65:C65)</f>
        <v>1</v>
      </c>
    </row>
    <row r="66" spans="1:12" ht="20.25" customHeight="1" x14ac:dyDescent="0.35">
      <c r="A66" s="188" t="s">
        <v>212</v>
      </c>
      <c r="B66" s="16"/>
    </row>
    <row r="67" spans="1:12" x14ac:dyDescent="0.35">
      <c r="A67" s="188"/>
      <c r="B67" s="16"/>
    </row>
    <row r="68" spans="1:12" ht="20.25" customHeight="1" x14ac:dyDescent="0.35">
      <c r="A68" s="5" t="s">
        <v>117</v>
      </c>
      <c r="B68" s="16"/>
    </row>
    <row r="69" spans="1:12" x14ac:dyDescent="0.35">
      <c r="A69" s="15"/>
      <c r="B69" s="22"/>
    </row>
    <row r="70" spans="1:12" ht="18.75" customHeight="1" x14ac:dyDescent="0.35">
      <c r="A70" s="218" t="s">
        <v>118</v>
      </c>
      <c r="B70" s="10"/>
      <c r="C70" s="10"/>
      <c r="D70" s="10"/>
    </row>
    <row r="71" spans="1:12" ht="5.25" customHeight="1" thickBot="1" x14ac:dyDescent="0.4">
      <c r="A71" s="218"/>
      <c r="B71" s="10"/>
      <c r="C71" s="10"/>
      <c r="D71" s="10"/>
    </row>
    <row r="72" spans="1:12" s="2" customFormat="1" ht="36" customHeight="1" thickBot="1" x14ac:dyDescent="0.4">
      <c r="A72" s="219" t="s">
        <v>23</v>
      </c>
      <c r="B72" s="220"/>
      <c r="C72" s="221"/>
      <c r="D72" s="221"/>
      <c r="E72" s="221"/>
      <c r="F72" s="36">
        <v>1200</v>
      </c>
      <c r="G72" s="554"/>
      <c r="H72" s="554"/>
      <c r="I72" s="554"/>
    </row>
    <row r="73" spans="1:12" ht="11.25" customHeight="1" thickBot="1" x14ac:dyDescent="0.4">
      <c r="G73" s="2"/>
      <c r="H73" s="2"/>
      <c r="I73" s="2"/>
      <c r="J73" s="2"/>
      <c r="K73" s="2"/>
    </row>
    <row r="74" spans="1:12" customFormat="1" ht="21.75" customHeight="1" x14ac:dyDescent="0.35">
      <c r="A74" s="609" t="s">
        <v>3</v>
      </c>
      <c r="B74" s="30" t="s">
        <v>0</v>
      </c>
      <c r="C74" s="30"/>
      <c r="D74" s="30"/>
      <c r="E74" s="30"/>
      <c r="F74" s="29"/>
      <c r="G74" s="2"/>
      <c r="H74" s="2"/>
      <c r="I74" s="2"/>
      <c r="J74" s="2"/>
      <c r="K74" s="2"/>
    </row>
    <row r="75" spans="1:12" customFormat="1" ht="21.75" customHeight="1" x14ac:dyDescent="0.35">
      <c r="A75" s="610"/>
      <c r="B75" s="31">
        <v>0</v>
      </c>
      <c r="C75" s="31">
        <v>1</v>
      </c>
      <c r="D75" s="31">
        <v>2</v>
      </c>
      <c r="E75" s="31">
        <v>3</v>
      </c>
      <c r="F75" s="32">
        <v>4</v>
      </c>
      <c r="G75" s="2"/>
      <c r="H75" s="2"/>
      <c r="I75" s="2"/>
      <c r="J75" s="2"/>
      <c r="K75" s="2"/>
    </row>
    <row r="76" spans="1:12" customFormat="1" ht="15" customHeight="1" x14ac:dyDescent="0.35">
      <c r="A76" s="17">
        <v>1</v>
      </c>
      <c r="B76" s="527">
        <v>0.41749999999999998</v>
      </c>
      <c r="C76" s="527">
        <v>0.42416666666666669</v>
      </c>
      <c r="D76" s="527">
        <v>0.42499999999999999</v>
      </c>
      <c r="E76" s="527">
        <v>0.41249999999999998</v>
      </c>
      <c r="F76" s="528">
        <v>0.42083333333333334</v>
      </c>
      <c r="G76" s="2"/>
      <c r="H76" s="2"/>
      <c r="I76" s="2"/>
      <c r="J76" s="2"/>
      <c r="K76" s="2"/>
      <c r="L76" s="23"/>
    </row>
    <row r="77" spans="1:12" customFormat="1" ht="15" customHeight="1" x14ac:dyDescent="0.35">
      <c r="A77" s="17">
        <v>2</v>
      </c>
      <c r="B77" s="527">
        <v>0.26166666666666666</v>
      </c>
      <c r="C77" s="527">
        <v>0.27500000000000002</v>
      </c>
      <c r="D77" s="527">
        <v>0.30333333333333334</v>
      </c>
      <c r="E77" s="527">
        <v>0.26833333333333331</v>
      </c>
      <c r="F77" s="528">
        <v>0.27333333333333332</v>
      </c>
      <c r="G77" s="2"/>
      <c r="H77" s="2"/>
      <c r="I77" s="2"/>
      <c r="J77" s="2"/>
      <c r="K77" s="2"/>
      <c r="L77" s="23"/>
    </row>
    <row r="78" spans="1:12" customFormat="1" ht="15" customHeight="1" x14ac:dyDescent="0.35">
      <c r="A78" s="17">
        <v>3</v>
      </c>
      <c r="B78" s="527">
        <v>0.10916666666666666</v>
      </c>
      <c r="C78" s="527">
        <v>0.15666666666666668</v>
      </c>
      <c r="D78" s="527">
        <v>0.14000000000000001</v>
      </c>
      <c r="E78" s="527">
        <v>0.15166666666666667</v>
      </c>
      <c r="F78" s="528">
        <v>0.15583333333333332</v>
      </c>
      <c r="G78" s="2"/>
      <c r="H78" s="2"/>
      <c r="I78" s="2"/>
      <c r="J78" s="2"/>
      <c r="K78" s="2"/>
      <c r="L78" s="23"/>
    </row>
    <row r="79" spans="1:12" customFormat="1" ht="15" customHeight="1" x14ac:dyDescent="0.35">
      <c r="A79" s="17">
        <v>4</v>
      </c>
      <c r="B79" s="527">
        <v>9.6666666666666665E-2</v>
      </c>
      <c r="C79" s="527">
        <v>0.12333333333333334</v>
      </c>
      <c r="D79" s="527">
        <v>0.11833333333333333</v>
      </c>
      <c r="E79" s="527">
        <v>0.13</v>
      </c>
      <c r="F79" s="528">
        <v>0.1275</v>
      </c>
      <c r="G79" s="2"/>
      <c r="H79" s="2"/>
      <c r="I79" s="2"/>
      <c r="J79" s="2"/>
      <c r="K79" s="2"/>
      <c r="L79" s="23"/>
    </row>
    <row r="80" spans="1:12" customFormat="1" ht="15" customHeight="1" x14ac:dyDescent="0.35">
      <c r="A80" s="17">
        <v>5</v>
      </c>
      <c r="B80" s="527">
        <v>2.5000000000000001E-3</v>
      </c>
      <c r="C80" s="527">
        <v>3.3333333333333335E-3</v>
      </c>
      <c r="D80" s="527">
        <v>5.0000000000000001E-3</v>
      </c>
      <c r="E80" s="527">
        <v>5.8333333333333336E-3</v>
      </c>
      <c r="F80" s="528">
        <v>3.3333333333333335E-3</v>
      </c>
      <c r="G80" s="2"/>
      <c r="H80" s="2"/>
      <c r="I80" s="2"/>
      <c r="J80" s="2"/>
      <c r="K80" s="2"/>
      <c r="L80" s="23"/>
    </row>
    <row r="81" spans="1:12" customFormat="1" ht="15" customHeight="1" thickBot="1" x14ac:dyDescent="0.4">
      <c r="A81" s="18">
        <v>6</v>
      </c>
      <c r="B81" s="529">
        <v>0.1125</v>
      </c>
      <c r="C81" s="529">
        <v>1.7500000000000002E-2</v>
      </c>
      <c r="D81" s="529">
        <v>8.3333333333333332E-3</v>
      </c>
      <c r="E81" s="529">
        <v>3.1666666666666669E-2</v>
      </c>
      <c r="F81" s="530">
        <v>1.9166666666666665E-2</v>
      </c>
      <c r="G81" s="2"/>
      <c r="H81" s="2"/>
      <c r="I81" s="2"/>
      <c r="J81" s="2"/>
      <c r="K81" s="2"/>
      <c r="L81" s="23"/>
    </row>
    <row r="82" spans="1:12" customFormat="1" ht="4.5" customHeight="1" thickBot="1" x14ac:dyDescent="0.4">
      <c r="B82" s="24"/>
      <c r="C82" s="24"/>
      <c r="D82" s="24"/>
      <c r="E82" s="24"/>
      <c r="F82" s="24"/>
      <c r="G82" s="2"/>
      <c r="H82" s="2"/>
      <c r="I82" s="2"/>
      <c r="J82" s="2"/>
      <c r="K82" s="2"/>
    </row>
    <row r="83" spans="1:12" customFormat="1" ht="15" customHeight="1" thickBot="1" x14ac:dyDescent="0.4">
      <c r="A83" s="33" t="s">
        <v>1</v>
      </c>
      <c r="B83" s="34">
        <f>SUM(B76:B81)</f>
        <v>1</v>
      </c>
      <c r="C83" s="34">
        <f>SUM(C76:C81)</f>
        <v>1</v>
      </c>
      <c r="D83" s="34">
        <f>SUM(D76:D81)</f>
        <v>0.99999999999999989</v>
      </c>
      <c r="E83" s="34">
        <f>SUM(E76:E81)</f>
        <v>1</v>
      </c>
      <c r="F83" s="35">
        <f>SUM(F76:F81)</f>
        <v>0.99999999999999978</v>
      </c>
      <c r="G83" s="2"/>
      <c r="H83" s="2"/>
      <c r="I83" s="2"/>
      <c r="J83" s="2"/>
      <c r="K83" s="2"/>
    </row>
    <row r="84" spans="1:12" ht="20.25" customHeight="1" x14ac:dyDescent="0.35">
      <c r="A84" s="188" t="s">
        <v>230</v>
      </c>
      <c r="B84" s="531"/>
      <c r="C84" s="37"/>
      <c r="D84" s="37"/>
      <c r="E84" s="37"/>
      <c r="F84" s="37"/>
      <c r="G84" s="2"/>
      <c r="H84" s="2"/>
      <c r="I84" s="2"/>
      <c r="J84" s="2"/>
      <c r="K84" s="2"/>
    </row>
    <row r="85" spans="1:12" ht="13.15" x14ac:dyDescent="0.35">
      <c r="A85" s="188"/>
      <c r="B85" s="531"/>
      <c r="C85" s="37"/>
      <c r="D85" s="37"/>
      <c r="E85" s="37"/>
      <c r="F85" s="37"/>
      <c r="G85" s="2"/>
      <c r="H85" s="2"/>
      <c r="I85" s="2"/>
      <c r="J85" s="2"/>
      <c r="K85" s="2"/>
    </row>
    <row r="86" spans="1:12" ht="20.25" customHeight="1" x14ac:dyDescent="0.35">
      <c r="A86" s="218" t="s">
        <v>119</v>
      </c>
      <c r="B86" s="22"/>
    </row>
    <row r="87" spans="1:12" ht="5.25" customHeight="1" thickBot="1" x14ac:dyDescent="0.4">
      <c r="A87" s="15"/>
      <c r="B87" s="22"/>
    </row>
    <row r="88" spans="1:12" s="2" customFormat="1" ht="33" customHeight="1" thickBot="1" x14ac:dyDescent="0.4">
      <c r="A88" s="219" t="s">
        <v>23</v>
      </c>
      <c r="B88" s="220"/>
      <c r="C88" s="221"/>
      <c r="D88" s="221"/>
      <c r="E88" s="221"/>
      <c r="F88" s="36">
        <f>F72</f>
        <v>1200</v>
      </c>
    </row>
    <row r="89" spans="1:12" ht="5.25" customHeight="1" thickBot="1" x14ac:dyDescent="0.4">
      <c r="G89" s="2"/>
      <c r="H89" s="2"/>
      <c r="I89" s="2"/>
      <c r="J89" s="2"/>
      <c r="K89" s="2"/>
    </row>
    <row r="90" spans="1:12" customFormat="1" ht="18.75" customHeight="1" x14ac:dyDescent="0.35">
      <c r="A90" s="609" t="s">
        <v>3</v>
      </c>
      <c r="B90" s="30" t="s">
        <v>0</v>
      </c>
      <c r="C90" s="30"/>
      <c r="D90" s="30"/>
      <c r="E90" s="30"/>
      <c r="F90" s="29"/>
      <c r="G90" s="2"/>
      <c r="H90" s="2"/>
      <c r="I90" s="2"/>
      <c r="J90" s="2"/>
      <c r="K90" s="2"/>
    </row>
    <row r="91" spans="1:12" customFormat="1" ht="18.75" customHeight="1" x14ac:dyDescent="0.35">
      <c r="A91" s="610"/>
      <c r="B91" s="31">
        <v>0</v>
      </c>
      <c r="C91" s="31">
        <v>1</v>
      </c>
      <c r="D91" s="31">
        <v>2</v>
      </c>
      <c r="E91" s="31">
        <v>3</v>
      </c>
      <c r="F91" s="32">
        <v>4</v>
      </c>
      <c r="G91" s="2"/>
      <c r="H91" s="2"/>
      <c r="I91" s="2"/>
      <c r="J91" s="2"/>
      <c r="K91" s="2"/>
    </row>
    <row r="92" spans="1:12" customFormat="1" ht="15" customHeight="1" x14ac:dyDescent="0.35">
      <c r="A92" s="17">
        <v>1</v>
      </c>
      <c r="B92" s="527">
        <v>0.41749999999999998</v>
      </c>
      <c r="C92" s="527">
        <v>0.42416666666666669</v>
      </c>
      <c r="D92" s="527">
        <v>0.42499999999999999</v>
      </c>
      <c r="E92" s="527">
        <v>0.41249999999999998</v>
      </c>
      <c r="F92" s="528">
        <v>0.42083333333333334</v>
      </c>
      <c r="G92" s="43"/>
      <c r="H92" s="43"/>
      <c r="I92" s="43"/>
      <c r="J92" s="43"/>
      <c r="K92" s="2"/>
    </row>
    <row r="93" spans="1:12" customFormat="1" ht="15" customHeight="1" x14ac:dyDescent="0.35">
      <c r="A93" s="17">
        <v>2</v>
      </c>
      <c r="B93" s="527">
        <v>0.26166666666666666</v>
      </c>
      <c r="C93" s="527">
        <v>0.27500000000000002</v>
      </c>
      <c r="D93" s="527">
        <v>0.30333333333333334</v>
      </c>
      <c r="E93" s="527">
        <v>0.26833333333333331</v>
      </c>
      <c r="F93" s="528">
        <v>0.27333333333333332</v>
      </c>
      <c r="G93" s="2"/>
      <c r="H93" s="2"/>
      <c r="I93" s="2"/>
      <c r="J93" s="2"/>
      <c r="K93" s="2"/>
    </row>
    <row r="94" spans="1:12" customFormat="1" ht="15" customHeight="1" x14ac:dyDescent="0.35">
      <c r="A94" s="17">
        <v>3</v>
      </c>
      <c r="B94" s="527">
        <v>0.10916666666666666</v>
      </c>
      <c r="C94" s="527">
        <v>0.15666666666666668</v>
      </c>
      <c r="D94" s="527">
        <v>0.14000000000000001</v>
      </c>
      <c r="E94" s="527">
        <v>0.15166666666666667</v>
      </c>
      <c r="F94" s="528">
        <v>0.15583333333333332</v>
      </c>
      <c r="G94" s="2"/>
      <c r="H94" s="2"/>
      <c r="I94" s="2"/>
      <c r="J94" s="2"/>
      <c r="K94" s="2"/>
    </row>
    <row r="95" spans="1:12" customFormat="1" ht="15" customHeight="1" x14ac:dyDescent="0.35">
      <c r="A95" s="17">
        <v>4</v>
      </c>
      <c r="B95" s="527">
        <v>9.6666666666666665E-2</v>
      </c>
      <c r="C95" s="527">
        <v>0.12333333333333334</v>
      </c>
      <c r="D95" s="527">
        <v>0.11833333333333333</v>
      </c>
      <c r="E95" s="527">
        <v>0.13</v>
      </c>
      <c r="F95" s="528">
        <v>0.1275</v>
      </c>
      <c r="G95" s="2"/>
      <c r="H95" s="2"/>
      <c r="I95" s="2"/>
      <c r="J95" s="2"/>
      <c r="K95" s="2"/>
    </row>
    <row r="96" spans="1:12" customFormat="1" ht="15" customHeight="1" x14ac:dyDescent="0.35">
      <c r="A96" s="17">
        <v>5</v>
      </c>
      <c r="B96" s="527">
        <v>2.5000000000000001E-3</v>
      </c>
      <c r="C96" s="527">
        <v>3.3333333333333335E-3</v>
      </c>
      <c r="D96" s="527">
        <v>5.0000000000000001E-3</v>
      </c>
      <c r="E96" s="527">
        <v>5.8333333333333336E-3</v>
      </c>
      <c r="F96" s="528">
        <v>3.3333333333333335E-3</v>
      </c>
      <c r="G96" s="2"/>
      <c r="H96" s="2"/>
      <c r="I96" s="2"/>
      <c r="J96" s="2"/>
      <c r="K96" s="2"/>
    </row>
    <row r="97" spans="1:16" customFormat="1" ht="15" customHeight="1" thickBot="1" x14ac:dyDescent="0.4">
      <c r="A97" s="18">
        <v>6</v>
      </c>
      <c r="B97" s="529">
        <v>0.1125</v>
      </c>
      <c r="C97" s="529">
        <v>1.7500000000000002E-2</v>
      </c>
      <c r="D97" s="529">
        <v>8.3333333333333332E-3</v>
      </c>
      <c r="E97" s="529">
        <v>3.1666666666666669E-2</v>
      </c>
      <c r="F97" s="530">
        <v>1.9166666666666665E-2</v>
      </c>
      <c r="G97" s="2"/>
      <c r="H97" s="2"/>
      <c r="I97" s="2"/>
      <c r="J97" s="2"/>
      <c r="K97" s="2"/>
    </row>
    <row r="98" spans="1:16" customFormat="1" ht="5.25" customHeight="1" thickBot="1" x14ac:dyDescent="0.4">
      <c r="B98" s="24"/>
      <c r="C98" s="24"/>
      <c r="D98" s="24"/>
      <c r="E98" s="24"/>
      <c r="F98" s="24"/>
      <c r="G98" s="2"/>
      <c r="H98" s="2"/>
      <c r="I98" s="2"/>
      <c r="J98" s="2"/>
      <c r="K98" s="2"/>
    </row>
    <row r="99" spans="1:16" customFormat="1" ht="15" customHeight="1" thickBot="1" x14ac:dyDescent="0.4">
      <c r="A99" s="33" t="s">
        <v>1</v>
      </c>
      <c r="B99" s="34">
        <f>SUM(B92:B97)</f>
        <v>1</v>
      </c>
      <c r="C99" s="34">
        <f>SUM(C92:C97)</f>
        <v>1</v>
      </c>
      <c r="D99" s="34">
        <f>SUM(D92:D97)</f>
        <v>0.99999999999999989</v>
      </c>
      <c r="E99" s="34">
        <f>SUM(E92:E97)</f>
        <v>1</v>
      </c>
      <c r="F99" s="35">
        <f>SUM(F92:F97)</f>
        <v>0.99999999999999978</v>
      </c>
      <c r="G99" s="2"/>
      <c r="H99" s="2"/>
      <c r="I99" s="2"/>
      <c r="J99" s="2"/>
      <c r="K99" s="2"/>
    </row>
    <row r="100" spans="1:16" ht="13.15" x14ac:dyDescent="0.35">
      <c r="A100" s="188" t="s">
        <v>230</v>
      </c>
      <c r="B100" s="189"/>
      <c r="G100" s="2"/>
      <c r="H100" s="2"/>
      <c r="I100" s="2"/>
      <c r="J100" s="2"/>
      <c r="K100" s="2"/>
    </row>
    <row r="101" spans="1:16" x14ac:dyDescent="0.35">
      <c r="A101" s="188"/>
      <c r="B101" s="22"/>
    </row>
    <row r="102" spans="1:16" x14ac:dyDescent="0.35">
      <c r="A102" s="15"/>
      <c r="B102" s="14"/>
    </row>
    <row r="103" spans="1:16" s="2" customFormat="1" ht="20.25" customHeight="1" x14ac:dyDescent="0.35">
      <c r="A103" s="5" t="s">
        <v>21</v>
      </c>
      <c r="B103" s="5"/>
      <c r="K103" s="1"/>
    </row>
    <row r="104" spans="1:16" ht="5.25" customHeight="1" thickBot="1" x14ac:dyDescent="0.4">
      <c r="C104" s="296"/>
      <c r="D104" s="296"/>
      <c r="E104" s="296"/>
      <c r="F104" s="296"/>
      <c r="G104" s="296"/>
      <c r="H104" s="296"/>
      <c r="I104" s="296"/>
    </row>
    <row r="105" spans="1:16" s="2" customFormat="1" ht="20.25" customHeight="1" x14ac:dyDescent="0.35">
      <c r="A105" s="609" t="s">
        <v>50</v>
      </c>
      <c r="B105" s="605" t="s">
        <v>96</v>
      </c>
      <c r="C105" s="30" t="s">
        <v>3</v>
      </c>
      <c r="D105" s="30"/>
      <c r="E105" s="30"/>
      <c r="F105" s="30"/>
      <c r="G105" s="30"/>
      <c r="H105" s="30"/>
      <c r="I105" s="29"/>
    </row>
    <row r="106" spans="1:16" s="2" customFormat="1" ht="20.25" customHeight="1" x14ac:dyDescent="0.35">
      <c r="A106" s="610"/>
      <c r="B106" s="606"/>
      <c r="C106" s="31">
        <v>1</v>
      </c>
      <c r="D106" s="31">
        <v>2</v>
      </c>
      <c r="E106" s="31">
        <v>3</v>
      </c>
      <c r="F106" s="31">
        <v>4</v>
      </c>
      <c r="G106" s="31">
        <v>5</v>
      </c>
      <c r="H106" s="31">
        <v>6</v>
      </c>
      <c r="I106" s="32" t="s">
        <v>4</v>
      </c>
    </row>
    <row r="107" spans="1:16" ht="15" customHeight="1" x14ac:dyDescent="0.35">
      <c r="A107" s="466" t="s">
        <v>49</v>
      </c>
      <c r="B107" s="471" t="s">
        <v>206</v>
      </c>
      <c r="C107" s="511">
        <v>18835.07193013667</v>
      </c>
      <c r="D107" s="511">
        <v>17602.928439633211</v>
      </c>
      <c r="E107" s="511">
        <v>32638.272769148498</v>
      </c>
      <c r="F107" s="511"/>
      <c r="G107" s="511"/>
      <c r="H107" s="511"/>
      <c r="I107" s="506">
        <f>SUM(C107:H107)</f>
        <v>69076.27313891839</v>
      </c>
      <c r="K107" s="296"/>
      <c r="L107" s="296"/>
      <c r="M107" s="296"/>
      <c r="N107" s="296"/>
      <c r="O107" s="296"/>
      <c r="P107" s="296"/>
    </row>
    <row r="108" spans="1:16" ht="15" customHeight="1" x14ac:dyDescent="0.35">
      <c r="A108" s="467" t="s">
        <v>49</v>
      </c>
      <c r="B108" s="468" t="s">
        <v>207</v>
      </c>
      <c r="C108" s="512">
        <f>($C$107*$C$136+$D$107*$C$137+$E$107*$C$138)</f>
        <v>7454.9858989185541</v>
      </c>
      <c r="D108" s="513">
        <f>$C$107*$D$136+$D$107*$D$137+$E$107*$D$138</f>
        <v>9216.568543044541</v>
      </c>
      <c r="E108" s="513">
        <f>$C$107*$E$136+$D$107*$E$137+$E$107*$E$138</f>
        <v>7745.4303018632472</v>
      </c>
      <c r="F108" s="513">
        <f>$C$107*$F$136+$D$107*$F$137+$E$107*$F$138</f>
        <v>8602.946578754134</v>
      </c>
      <c r="G108" s="513">
        <f>$C$107*$G$136+$D$107*$G$137+$E$107*$G$138</f>
        <v>3418.0690471894022</v>
      </c>
      <c r="H108" s="513">
        <f>$C$107*$H$136+$D$107*$H$137+$E$107*$H$138</f>
        <v>32638.272769148498</v>
      </c>
      <c r="I108" s="507">
        <f t="shared" ref="I108:I113" si="0">SUM(C108:H108)</f>
        <v>69076.27313891839</v>
      </c>
      <c r="K108" s="296"/>
      <c r="L108" s="296"/>
      <c r="M108" s="296"/>
      <c r="N108" s="296"/>
      <c r="O108" s="296"/>
      <c r="P108" s="296"/>
    </row>
    <row r="109" spans="1:16" ht="15" customHeight="1" x14ac:dyDescent="0.35">
      <c r="A109" s="6" t="s">
        <v>49</v>
      </c>
      <c r="B109" s="186" t="s">
        <v>98</v>
      </c>
      <c r="C109" s="514">
        <v>3993.502674731998</v>
      </c>
      <c r="D109" s="515">
        <v>4612.8436401578774</v>
      </c>
      <c r="E109" s="515">
        <v>4304.9732312032656</v>
      </c>
      <c r="F109" s="515">
        <v>4703.5496633244484</v>
      </c>
      <c r="G109" s="515">
        <v>1796.1322131995967</v>
      </c>
      <c r="H109" s="515">
        <v>14306.394596359745</v>
      </c>
      <c r="I109" s="508">
        <f t="shared" si="0"/>
        <v>33717.396018976928</v>
      </c>
      <c r="K109" s="296"/>
      <c r="L109" s="296"/>
      <c r="M109" s="296"/>
      <c r="N109" s="296"/>
      <c r="O109" s="296"/>
      <c r="P109" s="296"/>
    </row>
    <row r="110" spans="1:16" ht="15" customHeight="1" x14ac:dyDescent="0.35">
      <c r="A110" s="6" t="s">
        <v>36</v>
      </c>
      <c r="B110" s="186" t="s">
        <v>99</v>
      </c>
      <c r="C110" s="514">
        <v>6613.2572334814877</v>
      </c>
      <c r="D110" s="515">
        <v>8195.9872293909484</v>
      </c>
      <c r="E110" s="515">
        <v>7969.1535737819077</v>
      </c>
      <c r="F110" s="515">
        <v>8876.0983935512795</v>
      </c>
      <c r="G110" s="515">
        <v>3570.04969105493</v>
      </c>
      <c r="H110" s="515">
        <v>30217.767378696342</v>
      </c>
      <c r="I110" s="508">
        <f t="shared" si="0"/>
        <v>65442.313499956901</v>
      </c>
      <c r="K110" s="296"/>
      <c r="L110" s="296"/>
      <c r="M110" s="296"/>
      <c r="N110" s="296"/>
      <c r="O110" s="296"/>
      <c r="P110" s="296"/>
    </row>
    <row r="111" spans="1:16" ht="15" customHeight="1" x14ac:dyDescent="0.35">
      <c r="A111" s="6" t="s">
        <v>37</v>
      </c>
      <c r="B111" s="186" t="s">
        <v>100</v>
      </c>
      <c r="C111" s="514">
        <v>2009.6956649737706</v>
      </c>
      <c r="D111" s="515">
        <v>2647.057946841845</v>
      </c>
      <c r="E111" s="515">
        <v>2542.9123577724099</v>
      </c>
      <c r="F111" s="515">
        <v>2901.8936324406354</v>
      </c>
      <c r="G111" s="515">
        <v>1229.4355264529427</v>
      </c>
      <c r="H111" s="515">
        <v>11161.342821177477</v>
      </c>
      <c r="I111" s="509">
        <f t="shared" si="0"/>
        <v>22492.337949659079</v>
      </c>
      <c r="K111" s="296"/>
      <c r="L111" s="296"/>
      <c r="M111" s="296"/>
      <c r="N111" s="296"/>
      <c r="O111" s="296"/>
      <c r="P111" s="296"/>
    </row>
    <row r="112" spans="1:16" ht="15" customHeight="1" x14ac:dyDescent="0.35">
      <c r="A112" s="6" t="s">
        <v>38</v>
      </c>
      <c r="B112" s="186" t="s">
        <v>101</v>
      </c>
      <c r="C112" s="514">
        <v>809.19451358948686</v>
      </c>
      <c r="D112" s="515">
        <v>1043.033634400384</v>
      </c>
      <c r="E112" s="515">
        <v>1028.0376135128499</v>
      </c>
      <c r="F112" s="515">
        <v>1205.2480689663921</v>
      </c>
      <c r="G112" s="515">
        <v>507.00133921675985</v>
      </c>
      <c r="H112" s="515">
        <v>5424.5320458817923</v>
      </c>
      <c r="I112" s="509">
        <f t="shared" si="0"/>
        <v>10017.047215567665</v>
      </c>
      <c r="K112" s="296"/>
      <c r="L112" s="296"/>
      <c r="M112" s="296"/>
      <c r="N112" s="296"/>
      <c r="O112" s="296"/>
      <c r="P112" s="296"/>
    </row>
    <row r="113" spans="1:16" ht="15" customHeight="1" thickBot="1" x14ac:dyDescent="0.4">
      <c r="A113" s="44" t="s">
        <v>39</v>
      </c>
      <c r="B113" s="187" t="s">
        <v>102</v>
      </c>
      <c r="C113" s="516">
        <v>1294.0979776885763</v>
      </c>
      <c r="D113" s="517">
        <v>1747.0683435061294</v>
      </c>
      <c r="E113" s="517">
        <v>1692.9639477057019</v>
      </c>
      <c r="F113" s="517">
        <v>2031.5563070773926</v>
      </c>
      <c r="G113" s="517">
        <v>938.61260987478363</v>
      </c>
      <c r="H113" s="517">
        <v>9890.3375723728095</v>
      </c>
      <c r="I113" s="510">
        <f t="shared" si="0"/>
        <v>17594.636758225395</v>
      </c>
      <c r="K113" s="296"/>
      <c r="L113" s="296"/>
      <c r="M113" s="296"/>
      <c r="N113" s="296"/>
      <c r="O113" s="296"/>
      <c r="P113" s="296"/>
    </row>
    <row r="114" spans="1:16" ht="8.25" customHeight="1" thickBot="1" x14ac:dyDescent="0.4">
      <c r="C114" s="401"/>
      <c r="D114" s="302"/>
      <c r="E114" s="302"/>
      <c r="F114" s="302"/>
      <c r="G114" s="302"/>
      <c r="H114" s="302"/>
      <c r="I114" s="302"/>
    </row>
    <row r="115" spans="1:16" ht="19.5" customHeight="1" thickBot="1" x14ac:dyDescent="0.4">
      <c r="A115" s="33" t="s">
        <v>1</v>
      </c>
      <c r="B115" s="47"/>
      <c r="C115" s="402">
        <f>SUM(C108:C113)</f>
        <v>22174.733963383871</v>
      </c>
      <c r="D115" s="402">
        <f t="shared" ref="D115:I115" si="1">SUM(D108:D113)</f>
        <v>27462.559337341725</v>
      </c>
      <c r="E115" s="402">
        <f>SUM(E108:E113)</f>
        <v>25283.471025839382</v>
      </c>
      <c r="F115" s="402">
        <f t="shared" si="1"/>
        <v>28321.292644114281</v>
      </c>
      <c r="G115" s="402">
        <f t="shared" si="1"/>
        <v>11459.300426988415</v>
      </c>
      <c r="H115" s="402">
        <f t="shared" si="1"/>
        <v>103638.64718363665</v>
      </c>
      <c r="I115" s="403">
        <f t="shared" si="1"/>
        <v>218340.00458130438</v>
      </c>
    </row>
    <row r="116" spans="1:16" x14ac:dyDescent="0.35">
      <c r="A116" s="188" t="s">
        <v>222</v>
      </c>
      <c r="I116" s="39"/>
    </row>
    <row r="117" spans="1:16" x14ac:dyDescent="0.35">
      <c r="A117" s="15"/>
      <c r="I117" s="39"/>
    </row>
    <row r="118" spans="1:16" s="2" customFormat="1" ht="15" customHeight="1" x14ac:dyDescent="0.35">
      <c r="A118" s="5" t="s">
        <v>22</v>
      </c>
      <c r="B118" s="5"/>
      <c r="I118" s="11"/>
      <c r="J118" s="11"/>
      <c r="K118" s="11"/>
      <c r="L118" s="11"/>
      <c r="M118" s="11"/>
      <c r="N118" s="11"/>
    </row>
    <row r="119" spans="1:16" ht="5.25" customHeight="1" thickBot="1" x14ac:dyDescent="0.4">
      <c r="I119" s="2"/>
    </row>
    <row r="120" spans="1:16" s="2" customFormat="1" ht="20.25" customHeight="1" x14ac:dyDescent="0.35">
      <c r="A120" s="609" t="s">
        <v>50</v>
      </c>
      <c r="B120" s="605" t="s">
        <v>96</v>
      </c>
      <c r="C120" s="30" t="s">
        <v>3</v>
      </c>
      <c r="D120" s="30"/>
      <c r="E120" s="30"/>
      <c r="F120" s="30"/>
      <c r="G120" s="30"/>
      <c r="H120" s="29"/>
    </row>
    <row r="121" spans="1:16" s="2" customFormat="1" ht="20.25" customHeight="1" x14ac:dyDescent="0.35">
      <c r="A121" s="610"/>
      <c r="B121" s="606"/>
      <c r="C121" s="31">
        <v>1</v>
      </c>
      <c r="D121" s="31">
        <v>2</v>
      </c>
      <c r="E121" s="31">
        <v>3</v>
      </c>
      <c r="F121" s="31">
        <v>4</v>
      </c>
      <c r="G121" s="31">
        <v>5</v>
      </c>
      <c r="H121" s="32">
        <v>6</v>
      </c>
    </row>
    <row r="122" spans="1:16" ht="15" customHeight="1" x14ac:dyDescent="0.35">
      <c r="A122" s="6" t="s">
        <v>49</v>
      </c>
      <c r="B122" s="185" t="s">
        <v>97</v>
      </c>
      <c r="C122" s="518">
        <v>126703.92864932363</v>
      </c>
      <c r="D122" s="518">
        <f>$C122</f>
        <v>126703.92864932363</v>
      </c>
      <c r="E122" s="518">
        <f t="shared" ref="E122:G122" si="2">$C122</f>
        <v>126703.92864932363</v>
      </c>
      <c r="F122" s="518">
        <f t="shared" si="2"/>
        <v>126703.92864932363</v>
      </c>
      <c r="G122" s="518">
        <f t="shared" si="2"/>
        <v>126703.92864932363</v>
      </c>
      <c r="H122" s="519">
        <v>126834.14465258059</v>
      </c>
      <c r="K122" s="296"/>
      <c r="L122" s="296"/>
      <c r="M122" s="296"/>
      <c r="N122" s="296"/>
      <c r="O122" s="296"/>
      <c r="P122" s="296"/>
    </row>
    <row r="123" spans="1:16" ht="15" customHeight="1" x14ac:dyDescent="0.35">
      <c r="A123" s="6" t="s">
        <v>49</v>
      </c>
      <c r="B123" s="186" t="s">
        <v>98</v>
      </c>
      <c r="C123" s="518">
        <v>19520.856162245342</v>
      </c>
      <c r="D123" s="518">
        <v>20634.956163899737</v>
      </c>
      <c r="E123" s="518">
        <v>20715.968240822862</v>
      </c>
      <c r="F123" s="518">
        <v>20730.476708870057</v>
      </c>
      <c r="G123" s="518">
        <v>20737.415366327572</v>
      </c>
      <c r="H123" s="520">
        <v>26106.331855266977</v>
      </c>
      <c r="K123" s="296"/>
      <c r="L123" s="296"/>
      <c r="M123" s="296"/>
      <c r="N123" s="296"/>
      <c r="O123" s="296"/>
      <c r="P123" s="296"/>
    </row>
    <row r="124" spans="1:16" ht="15" customHeight="1" x14ac:dyDescent="0.35">
      <c r="A124" s="6" t="s">
        <v>36</v>
      </c>
      <c r="B124" s="186" t="s">
        <v>99</v>
      </c>
      <c r="C124" s="518">
        <v>17521.053235384275</v>
      </c>
      <c r="D124" s="518">
        <v>18220.05080608762</v>
      </c>
      <c r="E124" s="518">
        <v>18587.903238979099</v>
      </c>
      <c r="F124" s="518">
        <v>18762.030330978316</v>
      </c>
      <c r="G124" s="518">
        <v>18846.305430338645</v>
      </c>
      <c r="H124" s="520">
        <v>26780.134126865345</v>
      </c>
      <c r="K124" s="296"/>
      <c r="L124" s="296"/>
      <c r="M124" s="296"/>
      <c r="N124" s="296"/>
      <c r="O124" s="296"/>
      <c r="P124" s="296"/>
    </row>
    <row r="125" spans="1:16" ht="15" customHeight="1" x14ac:dyDescent="0.35">
      <c r="A125" s="6" t="s">
        <v>37</v>
      </c>
      <c r="B125" s="186" t="s">
        <v>100</v>
      </c>
      <c r="C125" s="518">
        <v>4503.1829605604544</v>
      </c>
      <c r="D125" s="518">
        <v>4653.3711488213194</v>
      </c>
      <c r="E125" s="518">
        <v>4741.3359617586257</v>
      </c>
      <c r="F125" s="518">
        <v>4775.702370650105</v>
      </c>
      <c r="G125" s="518">
        <v>4814.9949373893196</v>
      </c>
      <c r="H125" s="520">
        <v>6218.6892621452162</v>
      </c>
      <c r="K125" s="296"/>
      <c r="L125" s="296"/>
      <c r="M125" s="296"/>
      <c r="N125" s="296"/>
      <c r="O125" s="296"/>
      <c r="P125" s="296"/>
    </row>
    <row r="126" spans="1:16" ht="15" customHeight="1" x14ac:dyDescent="0.35">
      <c r="A126" s="6" t="s">
        <v>38</v>
      </c>
      <c r="B126" s="186" t="s">
        <v>101</v>
      </c>
      <c r="C126" s="518">
        <v>1819.98222729286</v>
      </c>
      <c r="D126" s="518">
        <v>1882.8241802867981</v>
      </c>
      <c r="E126" s="518">
        <v>1976.0493936291605</v>
      </c>
      <c r="F126" s="518">
        <v>2073.1385303267894</v>
      </c>
      <c r="G126" s="518">
        <v>2081.4228944277438</v>
      </c>
      <c r="H126" s="520">
        <v>2589.8757709304728</v>
      </c>
      <c r="K126" s="296"/>
      <c r="L126" s="296"/>
      <c r="M126" s="296"/>
      <c r="N126" s="296"/>
      <c r="O126" s="296"/>
      <c r="P126" s="296"/>
    </row>
    <row r="127" spans="1:16" ht="15" customHeight="1" thickBot="1" x14ac:dyDescent="0.4">
      <c r="A127" s="44" t="s">
        <v>39</v>
      </c>
      <c r="B127" s="187" t="s">
        <v>102</v>
      </c>
      <c r="C127" s="521">
        <v>3672.7301186494788</v>
      </c>
      <c r="D127" s="521">
        <v>3945.0100250519649</v>
      </c>
      <c r="E127" s="521">
        <v>4281.400287630232</v>
      </c>
      <c r="F127" s="521">
        <v>4290.5314533085675</v>
      </c>
      <c r="G127" s="521">
        <v>4363.8108291685612</v>
      </c>
      <c r="H127" s="522">
        <v>5630.9300950340694</v>
      </c>
      <c r="K127" s="296"/>
      <c r="L127" s="296"/>
      <c r="M127" s="296"/>
      <c r="N127" s="296"/>
      <c r="O127" s="296"/>
      <c r="P127" s="296"/>
    </row>
    <row r="128" spans="1:16" ht="5.25" customHeight="1" thickBot="1" x14ac:dyDescent="0.4">
      <c r="C128" s="523"/>
      <c r="D128" s="524"/>
      <c r="E128" s="524"/>
      <c r="F128" s="524"/>
      <c r="G128" s="524"/>
      <c r="H128" s="524"/>
    </row>
    <row r="129" spans="1:8" ht="15" customHeight="1" thickBot="1" x14ac:dyDescent="0.4">
      <c r="A129" s="33" t="s">
        <v>1</v>
      </c>
      <c r="B129" s="47"/>
      <c r="C129" s="525">
        <f>SUM(C122:C128)</f>
        <v>173741.73335345607</v>
      </c>
      <c r="D129" s="525">
        <f t="shared" ref="D129:H129" si="3">SUM(D122:D128)</f>
        <v>176040.14097347105</v>
      </c>
      <c r="E129" s="525">
        <f t="shared" si="3"/>
        <v>177006.58577214362</v>
      </c>
      <c r="F129" s="525">
        <f t="shared" si="3"/>
        <v>177335.80804345745</v>
      </c>
      <c r="G129" s="525">
        <f t="shared" si="3"/>
        <v>177547.87810697552</v>
      </c>
      <c r="H129" s="526">
        <f t="shared" si="3"/>
        <v>194160.10576282267</v>
      </c>
    </row>
    <row r="130" spans="1:8" x14ac:dyDescent="0.35">
      <c r="A130" s="188" t="s">
        <v>229</v>
      </c>
      <c r="B130" s="16"/>
      <c r="C130" s="12"/>
      <c r="D130" s="12"/>
      <c r="E130" s="12"/>
      <c r="F130" s="12"/>
      <c r="G130" s="12"/>
      <c r="H130" s="12"/>
    </row>
    <row r="131" spans="1:8" x14ac:dyDescent="0.35">
      <c r="A131" s="188"/>
      <c r="B131" s="14"/>
      <c r="C131" s="296"/>
      <c r="D131" s="296"/>
      <c r="E131" s="296"/>
      <c r="F131" s="296"/>
      <c r="G131" s="296"/>
      <c r="H131" s="296"/>
    </row>
    <row r="132" spans="1:8" ht="15" x14ac:dyDescent="0.35">
      <c r="A132" s="5" t="s">
        <v>209</v>
      </c>
      <c r="B132" s="5"/>
      <c r="C132" s="2"/>
      <c r="D132" s="2"/>
      <c r="E132" s="2"/>
      <c r="F132" s="2"/>
      <c r="G132" s="2"/>
      <c r="H132" s="2"/>
    </row>
    <row r="133" spans="1:8" ht="5.25" customHeight="1" thickBot="1" x14ac:dyDescent="0.4">
      <c r="A133" s="5"/>
      <c r="B133" s="5"/>
      <c r="C133" s="2"/>
      <c r="D133" s="2"/>
      <c r="E133" s="2"/>
      <c r="F133" s="2"/>
      <c r="G133" s="2"/>
      <c r="H133" s="2"/>
    </row>
    <row r="134" spans="1:8" ht="13.15" x14ac:dyDescent="0.35">
      <c r="A134" s="607" t="s">
        <v>137</v>
      </c>
      <c r="B134" s="611" t="s">
        <v>138</v>
      </c>
      <c r="C134" s="30" t="s">
        <v>3</v>
      </c>
      <c r="D134" s="30"/>
      <c r="E134" s="30"/>
      <c r="F134" s="30"/>
      <c r="G134" s="30"/>
      <c r="H134" s="29"/>
    </row>
    <row r="135" spans="1:8" ht="13.15" x14ac:dyDescent="0.35">
      <c r="A135" s="608"/>
      <c r="B135" s="612"/>
      <c r="C135" s="31">
        <v>1</v>
      </c>
      <c r="D135" s="31">
        <v>2</v>
      </c>
      <c r="E135" s="31">
        <v>3</v>
      </c>
      <c r="F135" s="31">
        <v>4</v>
      </c>
      <c r="G135" s="31">
        <v>5</v>
      </c>
      <c r="H135" s="32">
        <v>6</v>
      </c>
    </row>
    <row r="136" spans="1:8" ht="15" customHeight="1" x14ac:dyDescent="0.35">
      <c r="A136" s="598" t="s">
        <v>97</v>
      </c>
      <c r="B136" s="300">
        <v>1</v>
      </c>
      <c r="C136" s="298">
        <v>0.35866863800562337</v>
      </c>
      <c r="D136" s="298">
        <v>0.17675683318781613</v>
      </c>
      <c r="E136" s="298">
        <v>0.24558681342972608</v>
      </c>
      <c r="F136" s="298">
        <v>0.2189877153768344</v>
      </c>
      <c r="G136" s="298">
        <v>0</v>
      </c>
      <c r="H136" s="363">
        <v>0</v>
      </c>
    </row>
    <row r="137" spans="1:8" ht="15" customHeight="1" x14ac:dyDescent="0.35">
      <c r="A137" s="599"/>
      <c r="B137" s="301">
        <v>2</v>
      </c>
      <c r="C137" s="299">
        <v>3.9734087734157757E-2</v>
      </c>
      <c r="D137" s="299">
        <v>0.33445235524297395</v>
      </c>
      <c r="E137" s="299">
        <v>0.17723102246993566</v>
      </c>
      <c r="F137" s="299">
        <v>0.25440637466503707</v>
      </c>
      <c r="G137" s="299">
        <v>0.19417615988789555</v>
      </c>
      <c r="H137" s="364">
        <v>0</v>
      </c>
    </row>
    <row r="138" spans="1:8" ht="15" customHeight="1" thickBot="1" x14ac:dyDescent="0.4">
      <c r="A138" s="600"/>
      <c r="B138" s="365">
        <v>3</v>
      </c>
      <c r="C138" s="366">
        <v>0</v>
      </c>
      <c r="D138" s="366">
        <v>0</v>
      </c>
      <c r="E138" s="366">
        <v>0</v>
      </c>
      <c r="F138" s="366">
        <v>0</v>
      </c>
      <c r="G138" s="366">
        <v>0</v>
      </c>
      <c r="H138" s="367">
        <v>1</v>
      </c>
    </row>
    <row r="139" spans="1:8" x14ac:dyDescent="0.35">
      <c r="A139" s="188" t="s">
        <v>228</v>
      </c>
      <c r="B139" s="16"/>
    </row>
    <row r="141" spans="1:8" ht="15" x14ac:dyDescent="0.35">
      <c r="A141" s="5" t="s">
        <v>211</v>
      </c>
      <c r="B141" s="5"/>
      <c r="C141" s="2"/>
      <c r="D141" s="2"/>
      <c r="E141" s="2"/>
      <c r="F141" s="2"/>
      <c r="G141" s="2"/>
      <c r="H141" s="2"/>
    </row>
    <row r="142" spans="1:8" ht="5.25" customHeight="1" thickBot="1" x14ac:dyDescent="0.4">
      <c r="A142" s="5"/>
      <c r="B142" s="5"/>
      <c r="C142" s="2"/>
      <c r="D142" s="2"/>
      <c r="E142" s="2"/>
      <c r="F142" s="2"/>
      <c r="G142" s="2"/>
      <c r="H142" s="2"/>
    </row>
    <row r="143" spans="1:8" ht="13.15" x14ac:dyDescent="0.35">
      <c r="A143" s="607" t="s">
        <v>137</v>
      </c>
      <c r="B143" s="611" t="s">
        <v>138</v>
      </c>
      <c r="C143" s="30" t="s">
        <v>3</v>
      </c>
      <c r="D143" s="30"/>
      <c r="E143" s="30"/>
      <c r="F143" s="30"/>
      <c r="G143" s="30"/>
      <c r="H143" s="29"/>
    </row>
    <row r="144" spans="1:8" ht="13.15" x14ac:dyDescent="0.35">
      <c r="A144" s="608"/>
      <c r="B144" s="612"/>
      <c r="C144" s="31">
        <v>1</v>
      </c>
      <c r="D144" s="31">
        <v>2</v>
      </c>
      <c r="E144" s="31">
        <v>3</v>
      </c>
      <c r="F144" s="31">
        <v>4</v>
      </c>
      <c r="G144" s="31">
        <v>5</v>
      </c>
      <c r="H144" s="32">
        <v>6</v>
      </c>
    </row>
    <row r="145" spans="1:9" ht="15" customHeight="1" x14ac:dyDescent="0.35">
      <c r="A145" s="598" t="s">
        <v>97</v>
      </c>
      <c r="B145" s="300">
        <v>1</v>
      </c>
      <c r="C145" s="298">
        <v>0.90615873590351392</v>
      </c>
      <c r="D145" s="298">
        <v>0.36116780167338319</v>
      </c>
      <c r="E145" s="298">
        <v>0.59715305065445778</v>
      </c>
      <c r="F145" s="298">
        <v>0.47938745652839976</v>
      </c>
      <c r="G145" s="298">
        <v>0</v>
      </c>
      <c r="H145" s="363">
        <v>0</v>
      </c>
    </row>
    <row r="146" spans="1:9" ht="15" customHeight="1" x14ac:dyDescent="0.35">
      <c r="A146" s="599"/>
      <c r="B146" s="301">
        <v>2</v>
      </c>
      <c r="C146" s="299">
        <v>9.3841264096486035E-2</v>
      </c>
      <c r="D146" s="299">
        <v>0.63883219832661686</v>
      </c>
      <c r="E146" s="299">
        <v>0.4028469493455421</v>
      </c>
      <c r="F146" s="299">
        <v>0.52061254347160013</v>
      </c>
      <c r="G146" s="299">
        <v>1</v>
      </c>
      <c r="H146" s="364">
        <v>0</v>
      </c>
    </row>
    <row r="147" spans="1:9" ht="15" customHeight="1" thickBot="1" x14ac:dyDescent="0.4">
      <c r="A147" s="600"/>
      <c r="B147" s="365">
        <v>3</v>
      </c>
      <c r="C147" s="366">
        <v>0</v>
      </c>
      <c r="D147" s="366">
        <v>0</v>
      </c>
      <c r="E147" s="366">
        <v>0</v>
      </c>
      <c r="F147" s="366">
        <v>0</v>
      </c>
      <c r="G147" s="366">
        <v>0</v>
      </c>
      <c r="H147" s="367">
        <v>1</v>
      </c>
    </row>
    <row r="148" spans="1:9" x14ac:dyDescent="0.35">
      <c r="A148" s="188" t="s">
        <v>228</v>
      </c>
      <c r="B148" s="16"/>
    </row>
    <row r="150" spans="1:9" x14ac:dyDescent="0.35">
      <c r="D150" s="303"/>
      <c r="E150" s="303"/>
    </row>
    <row r="151" spans="1:9" x14ac:dyDescent="0.35">
      <c r="C151" s="302"/>
      <c r="D151" s="302"/>
      <c r="E151" s="302"/>
      <c r="F151" s="302"/>
      <c r="G151" s="302"/>
      <c r="H151" s="302"/>
      <c r="I151" s="302"/>
    </row>
    <row r="152" spans="1:9" x14ac:dyDescent="0.35">
      <c r="C152" s="303"/>
    </row>
    <row r="153" spans="1:9" x14ac:dyDescent="0.35">
      <c r="D153" s="304"/>
      <c r="E153" s="304"/>
    </row>
    <row r="154" spans="1:9" x14ac:dyDescent="0.35">
      <c r="D154" s="304"/>
      <c r="E154" s="304"/>
    </row>
    <row r="157" spans="1:9" x14ac:dyDescent="0.35">
      <c r="D157" s="46"/>
      <c r="E157" s="302"/>
    </row>
    <row r="158" spans="1:9" x14ac:dyDescent="0.35">
      <c r="D158" s="46"/>
      <c r="E158" s="302"/>
    </row>
    <row r="159" spans="1:9" x14ac:dyDescent="0.35">
      <c r="D159" s="46"/>
      <c r="E159" s="302"/>
    </row>
    <row r="160" spans="1:9" x14ac:dyDescent="0.35">
      <c r="D160" s="46"/>
      <c r="E160" s="302"/>
    </row>
  </sheetData>
  <mergeCells count="15">
    <mergeCell ref="A145:A147"/>
    <mergeCell ref="A14:B14"/>
    <mergeCell ref="A32:B32"/>
    <mergeCell ref="B120:B121"/>
    <mergeCell ref="A59:A60"/>
    <mergeCell ref="A105:A106"/>
    <mergeCell ref="B105:B106"/>
    <mergeCell ref="A120:A121"/>
    <mergeCell ref="A74:A75"/>
    <mergeCell ref="A90:A91"/>
    <mergeCell ref="A134:A135"/>
    <mergeCell ref="B134:B135"/>
    <mergeCell ref="A136:A138"/>
    <mergeCell ref="A143:A144"/>
    <mergeCell ref="B143:B144"/>
  </mergeCells>
  <phoneticPr fontId="19" type="noConversion"/>
  <conditionalFormatting sqref="L76:L81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&amp;L&amp;D&amp;C_x000D_&amp;1#&amp;"Calibri"&amp;10&amp;K000000 INTERNA&amp;RPágina &amp;P de &amp;N</oddFooter>
  </headerFooter>
  <rowBreaks count="1" manualBreakCount="1">
    <brk id="8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G109"/>
  <sheetViews>
    <sheetView showGridLines="0" topLeftCell="A15" zoomScaleNormal="100" workbookViewId="0">
      <selection activeCell="D33" sqref="D33"/>
    </sheetView>
  </sheetViews>
  <sheetFormatPr baseColWidth="10" defaultRowHeight="12.75" x14ac:dyDescent="0.35"/>
  <cols>
    <col min="2" max="7" width="14.73046875" customWidth="1"/>
    <col min="8" max="8" width="2.86328125" customWidth="1"/>
    <col min="9" max="9" width="12.265625" bestFit="1" customWidth="1"/>
    <col min="10" max="10" width="11.1328125" bestFit="1" customWidth="1"/>
    <col min="11" max="11" width="13.73046875" bestFit="1" customWidth="1"/>
    <col min="12" max="13" width="11.1328125" bestFit="1" customWidth="1"/>
    <col min="14" max="14" width="11.3984375" customWidth="1"/>
    <col min="15" max="15" width="2.73046875" customWidth="1"/>
    <col min="17" max="17" width="13.1328125" customWidth="1"/>
    <col min="18" max="18" width="14" customWidth="1"/>
    <col min="22" max="22" width="2.265625" customWidth="1"/>
  </cols>
  <sheetData>
    <row r="1" spans="1:33" s="1" customFormat="1" x14ac:dyDescent="0.35"/>
    <row r="2" spans="1:33" s="1" customFormat="1" x14ac:dyDescent="0.35"/>
    <row r="3" spans="1:33" s="1" customFormat="1" x14ac:dyDescent="0.35"/>
    <row r="4" spans="1:33" s="1" customFormat="1" x14ac:dyDescent="0.35"/>
    <row r="5" spans="1:33" s="1" customFormat="1" x14ac:dyDescent="0.35"/>
    <row r="6" spans="1:33" s="1" customFormat="1" ht="17.649999999999999" x14ac:dyDescent="0.35">
      <c r="A6" s="369" t="s">
        <v>203</v>
      </c>
    </row>
    <row r="7" spans="1:33" s="5" customFormat="1" ht="16.5" customHeight="1" x14ac:dyDescent="0.35">
      <c r="A7" s="5" t="s">
        <v>216</v>
      </c>
    </row>
    <row r="8" spans="1:33" ht="5.25" customHeight="1" thickBot="1" x14ac:dyDescent="0.4"/>
    <row r="9" spans="1:33" ht="24" customHeight="1" x14ac:dyDescent="0.35">
      <c r="A9" s="638" t="s">
        <v>96</v>
      </c>
      <c r="B9" s="162" t="s">
        <v>121</v>
      </c>
      <c r="C9" s="162"/>
      <c r="D9" s="162"/>
      <c r="E9" s="162"/>
      <c r="F9" s="162"/>
      <c r="G9" s="163"/>
      <c r="I9" s="180" t="s">
        <v>122</v>
      </c>
      <c r="J9" s="162"/>
      <c r="K9" s="162"/>
      <c r="L9" s="162"/>
      <c r="M9" s="162"/>
      <c r="N9" s="163"/>
    </row>
    <row r="10" spans="1:33" ht="24" customHeight="1" x14ac:dyDescent="0.35">
      <c r="A10" s="639"/>
      <c r="B10" s="164" t="s">
        <v>15</v>
      </c>
      <c r="C10" s="164" t="s">
        <v>16</v>
      </c>
      <c r="D10" s="164" t="s">
        <v>17</v>
      </c>
      <c r="E10" s="164" t="s">
        <v>18</v>
      </c>
      <c r="F10" s="164" t="s">
        <v>19</v>
      </c>
      <c r="G10" s="165" t="s">
        <v>20</v>
      </c>
      <c r="I10" s="181" t="s">
        <v>15</v>
      </c>
      <c r="J10" s="164" t="s">
        <v>16</v>
      </c>
      <c r="K10" s="164" t="s">
        <v>17</v>
      </c>
      <c r="L10" s="164" t="s">
        <v>18</v>
      </c>
      <c r="M10" s="164" t="s">
        <v>19</v>
      </c>
      <c r="N10" s="165" t="s">
        <v>20</v>
      </c>
    </row>
    <row r="11" spans="1:33" ht="18" customHeight="1" x14ac:dyDescent="0.35">
      <c r="A11" s="222" t="s">
        <v>97</v>
      </c>
      <c r="B11" s="488">
        <f>ROUND('VI. Diseño del Peaje 2.0 TD'!B70,6)</f>
        <v>3.1172</v>
      </c>
      <c r="C11" s="488">
        <f>ROUND('VI. Diseño del Peaje 2.0 TD'!C70,6)</f>
        <v>3.9101999999999998E-2</v>
      </c>
      <c r="D11" s="489"/>
      <c r="E11" s="489"/>
      <c r="F11" s="489"/>
      <c r="G11" s="490"/>
      <c r="H11" s="1"/>
      <c r="I11" s="393">
        <f>ROUND('VI. Diseño del Peaje 2.0 TD'!D70,6)</f>
        <v>4.5279999999999999E-3</v>
      </c>
      <c r="J11" s="394">
        <f>ROUND('VI. Diseño del Peaje 2.0 TD'!E70,6)</f>
        <v>2.5890000000000002E-3</v>
      </c>
      <c r="K11" s="394">
        <f>ROUND('VI. Diseño del Peaje 2.0 TD'!F70,6)</f>
        <v>7.4999999999999993E-5</v>
      </c>
      <c r="L11" s="452"/>
      <c r="M11" s="452"/>
      <c r="N11" s="453"/>
      <c r="P11" s="293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8" customHeight="1" x14ac:dyDescent="0.35">
      <c r="A12" s="225" t="s">
        <v>98</v>
      </c>
      <c r="B12" s="487">
        <f>ROUND('Va. Peajes transporte'!B80,6)</f>
        <v>1.54775</v>
      </c>
      <c r="C12" s="487">
        <f>ROUND('Va. Peajes transporte'!C80,6)</f>
        <v>1.0093909999999999</v>
      </c>
      <c r="D12" s="487">
        <f>ROUND('Va. Peajes transporte'!D80,6)</f>
        <v>0.440585</v>
      </c>
      <c r="E12" s="487">
        <f>ROUND('Va. Peajes transporte'!E80,6)</f>
        <v>0.35844700000000002</v>
      </c>
      <c r="F12" s="487">
        <f>ROUND('Va. Peajes transporte'!F80,6)</f>
        <v>4.2634999999999999E-2</v>
      </c>
      <c r="G12" s="491">
        <f>ROUND('Va. Peajes transporte'!G80,6)</f>
        <v>4.2634999999999999E-2</v>
      </c>
      <c r="H12" s="1"/>
      <c r="I12" s="395">
        <f>ROUND('Va. Peajes transporte'!I80,6)</f>
        <v>5.7200000000000003E-3</v>
      </c>
      <c r="J12" s="396">
        <f>ROUND('Va. Peajes transporte'!J80,6)</f>
        <v>2.9789999999999999E-3</v>
      </c>
      <c r="K12" s="396">
        <f>ROUND('Va. Peajes transporte'!K80,6)</f>
        <v>1.7849999999999999E-3</v>
      </c>
      <c r="L12" s="396">
        <f>ROUND('Va. Peajes transporte'!L80,6)</f>
        <v>1.3010000000000001E-3</v>
      </c>
      <c r="M12" s="396">
        <f>ROUND('Va. Peajes transporte'!M80,6)</f>
        <v>8.5000000000000006E-5</v>
      </c>
      <c r="N12" s="397">
        <f>ROUND('Va. Peajes transporte'!N80,6)</f>
        <v>5.5000000000000002E-5</v>
      </c>
      <c r="P12" s="293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8" customHeight="1" x14ac:dyDescent="0.35">
      <c r="A13" s="225" t="s">
        <v>99</v>
      </c>
      <c r="B13" s="487">
        <f>ROUND('Va. Peajes transporte'!B81,6)</f>
        <v>5.038316</v>
      </c>
      <c r="C13" s="487">
        <f>ROUND('Va. Peajes transporte'!C81,6)</f>
        <v>3.1018680000000001</v>
      </c>
      <c r="D13" s="487">
        <f>ROUND('Va. Peajes transporte'!D81,6)</f>
        <v>2.3850319999999998</v>
      </c>
      <c r="E13" s="487">
        <f>ROUND('Va. Peajes transporte'!E81,6)</f>
        <v>1.892034</v>
      </c>
      <c r="F13" s="487">
        <f>ROUND('Va. Peajes transporte'!F81,6)</f>
        <v>7.8114000000000003E-2</v>
      </c>
      <c r="G13" s="491">
        <f>ROUND('Va. Peajes transporte'!G81,6)</f>
        <v>7.8114000000000003E-2</v>
      </c>
      <c r="H13" s="1"/>
      <c r="I13" s="395">
        <f>ROUND('Va. Peajes transporte'!I81,6)</f>
        <v>5.2240000000000003E-3</v>
      </c>
      <c r="J13" s="396">
        <f>ROUND('Va. Peajes transporte'!J81,6)</f>
        <v>2.7130000000000001E-3</v>
      </c>
      <c r="K13" s="396">
        <f>ROUND('Va. Peajes transporte'!K81,6)</f>
        <v>1.7420000000000001E-3</v>
      </c>
      <c r="L13" s="396">
        <f>ROUND('Va. Peajes transporte'!L81,6)</f>
        <v>1.273E-3</v>
      </c>
      <c r="M13" s="396">
        <f>ROUND('Va. Peajes transporte'!M81,6)</f>
        <v>8.1000000000000004E-5</v>
      </c>
      <c r="N13" s="397">
        <f>ROUND('Va. Peajes transporte'!N81,6)</f>
        <v>4.8999999999999998E-5</v>
      </c>
      <c r="P13" s="293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8" customHeight="1" x14ac:dyDescent="0.35">
      <c r="A14" s="225" t="s">
        <v>100</v>
      </c>
      <c r="B14" s="487">
        <f>ROUND('Va. Peajes transporte'!B82,6)</f>
        <v>4.9055499999999999</v>
      </c>
      <c r="C14" s="487">
        <f>ROUND('Va. Peajes transporte'!C82,6)</f>
        <v>3.1487509999999999</v>
      </c>
      <c r="D14" s="487">
        <f>ROUND('Va. Peajes transporte'!D82,6)</f>
        <v>2.144498</v>
      </c>
      <c r="E14" s="487">
        <f>ROUND('Va. Peajes transporte'!E82,6)</f>
        <v>1.723336</v>
      </c>
      <c r="F14" s="487">
        <f>ROUND('Va. Peajes transporte'!F82,6)</f>
        <v>9.3774999999999997E-2</v>
      </c>
      <c r="G14" s="491">
        <f>ROUND('Va. Peajes transporte'!G82,6)</f>
        <v>9.3774999999999997E-2</v>
      </c>
      <c r="H14" s="1"/>
      <c r="I14" s="395">
        <f>ROUND('Va. Peajes transporte'!I82,6)</f>
        <v>4.4010000000000004E-3</v>
      </c>
      <c r="J14" s="396">
        <f>ROUND('Va. Peajes transporte'!J82,6)</f>
        <v>2.2829999999999999E-3</v>
      </c>
      <c r="K14" s="396">
        <f>ROUND('Va. Peajes transporte'!K82,6)</f>
        <v>1.423E-3</v>
      </c>
      <c r="L14" s="396">
        <f>ROUND('Va. Peajes transporte'!L82,6)</f>
        <v>1.044E-3</v>
      </c>
      <c r="M14" s="396">
        <f>ROUND('Va. Peajes transporte'!M82,6)</f>
        <v>6.6000000000000005E-5</v>
      </c>
      <c r="N14" s="397">
        <f>ROUND('Va. Peajes transporte'!N82,6)</f>
        <v>4.0000000000000003E-5</v>
      </c>
      <c r="P14" s="293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8" customHeight="1" x14ac:dyDescent="0.35">
      <c r="A15" s="225" t="s">
        <v>101</v>
      </c>
      <c r="B15" s="487">
        <f>ROUND('Va. Peajes transporte'!B83,6)</f>
        <v>5.4368150000000002</v>
      </c>
      <c r="C15" s="487">
        <f>ROUND('Va. Peajes transporte'!C83,6)</f>
        <v>3.4071310000000001</v>
      </c>
      <c r="D15" s="487">
        <f>ROUND('Va. Peajes transporte'!D83,6)</f>
        <v>2.6780369999999998</v>
      </c>
      <c r="E15" s="487">
        <f>ROUND('Va. Peajes transporte'!E83,6)</f>
        <v>2.0341900000000002</v>
      </c>
      <c r="F15" s="487">
        <f>ROUND('Va. Peajes transporte'!F83,6)</f>
        <v>0.13192699999999999</v>
      </c>
      <c r="G15" s="491">
        <f>ROUND('Va. Peajes transporte'!G83,6)</f>
        <v>0.13192699999999999</v>
      </c>
      <c r="H15" s="1"/>
      <c r="I15" s="395">
        <f>ROUND('Va. Peajes transporte'!I83,6)</f>
        <v>5.28E-3</v>
      </c>
      <c r="J15" s="396">
        <f>ROUND('Va. Peajes transporte'!J83,6)</f>
        <v>2.8579999999999999E-3</v>
      </c>
      <c r="K15" s="396">
        <f>ROUND('Va. Peajes transporte'!K83,6)</f>
        <v>1.8389999999999999E-3</v>
      </c>
      <c r="L15" s="396">
        <f>ROUND('Va. Peajes transporte'!L83,6)</f>
        <v>1.323E-3</v>
      </c>
      <c r="M15" s="396">
        <f>ROUND('Va. Peajes transporte'!M83,6)</f>
        <v>8.6000000000000003E-5</v>
      </c>
      <c r="N15" s="397">
        <f>ROUND('Va. Peajes transporte'!N83,6)</f>
        <v>5.1999999999999997E-5</v>
      </c>
      <c r="P15" s="293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8" customHeight="1" thickBot="1" x14ac:dyDescent="0.4">
      <c r="A16" s="228" t="s">
        <v>102</v>
      </c>
      <c r="B16" s="492">
        <f>ROUND('Va. Peajes transporte'!B84,6)</f>
        <v>7.3105599999999997</v>
      </c>
      <c r="C16" s="492">
        <f>ROUND('Va. Peajes transporte'!C84,6)</f>
        <v>4.1164300000000003</v>
      </c>
      <c r="D16" s="492">
        <f>ROUND('Va. Peajes transporte'!D84,6)</f>
        <v>3.1618219999999999</v>
      </c>
      <c r="E16" s="492">
        <f>ROUND('Va. Peajes transporte'!E84,6)</f>
        <v>2.8773849999999999</v>
      </c>
      <c r="F16" s="492">
        <f>ROUND('Va. Peajes transporte'!F84,6)</f>
        <v>0.194493</v>
      </c>
      <c r="G16" s="493">
        <f>ROUND('Va. Peajes transporte'!G84,6)</f>
        <v>0.194493</v>
      </c>
      <c r="H16" s="1"/>
      <c r="I16" s="398">
        <f>ROUND('Va. Peajes transporte'!I84,6)</f>
        <v>8.7569999999999992E-3</v>
      </c>
      <c r="J16" s="399">
        <f>ROUND('Va. Peajes transporte'!J84,6)</f>
        <v>4.8060000000000004E-3</v>
      </c>
      <c r="K16" s="399">
        <f>ROUND('Va. Peajes transporte'!K84,6)</f>
        <v>3.0669999999999998E-3</v>
      </c>
      <c r="L16" s="399">
        <f>ROUND('Va. Peajes transporte'!L84,6)</f>
        <v>2.2060000000000001E-3</v>
      </c>
      <c r="M16" s="399">
        <f>ROUND('Va. Peajes transporte'!M84,6)</f>
        <v>1.3899999999999999E-4</v>
      </c>
      <c r="N16" s="400">
        <f>ROUND('Va. Peajes transporte'!N84,6)</f>
        <v>8.8999999999999995E-5</v>
      </c>
      <c r="P16" s="293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5" customFormat="1" ht="16.5" customHeight="1" x14ac:dyDescent="0.35">
      <c r="A17" s="5" t="s">
        <v>218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5.25" customHeight="1" thickBot="1" x14ac:dyDescent="0.4"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24" customHeight="1" x14ac:dyDescent="0.35">
      <c r="A19" s="638" t="s">
        <v>96</v>
      </c>
      <c r="B19" s="162" t="s">
        <v>121</v>
      </c>
      <c r="C19" s="162"/>
      <c r="D19" s="162"/>
      <c r="E19" s="162"/>
      <c r="F19" s="162"/>
      <c r="G19" s="163"/>
      <c r="I19" s="180" t="s">
        <v>122</v>
      </c>
      <c r="J19" s="162"/>
      <c r="K19" s="162"/>
      <c r="L19" s="162"/>
      <c r="M19" s="162"/>
      <c r="N19" s="16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24" customHeight="1" x14ac:dyDescent="0.35">
      <c r="A20" s="639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8" customHeight="1" x14ac:dyDescent="0.35">
      <c r="A21" s="222" t="s">
        <v>97</v>
      </c>
      <c r="B21" s="393">
        <f>ROUND('VI. Diseño del Peaje 2.0 TD'!B71,6)</f>
        <v>19.284545999999999</v>
      </c>
      <c r="C21" s="394">
        <f>ROUND('VI. Diseño del Peaje 2.0 TD'!C71,6)</f>
        <v>0.73746199999999995</v>
      </c>
      <c r="D21" s="489"/>
      <c r="E21" s="452"/>
      <c r="F21" s="452"/>
      <c r="G21" s="453"/>
      <c r="H21" s="1"/>
      <c r="I21" s="393">
        <f>ROUND('VI. Diseño del Peaje 2.0 TD'!D71,6)</f>
        <v>2.8552999999999999E-2</v>
      </c>
      <c r="J21" s="394">
        <f>ROUND('VI. Diseño del Peaje 2.0 TD'!E71,6)</f>
        <v>1.6594999999999999E-2</v>
      </c>
      <c r="K21" s="394">
        <f>ROUND('VI. Diseño del Peaje 2.0 TD'!F71,6)</f>
        <v>4.8200000000000001E-4</v>
      </c>
      <c r="L21" s="452"/>
      <c r="M21" s="452"/>
      <c r="N21" s="453"/>
      <c r="P21" s="293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8" customHeight="1" x14ac:dyDescent="0.35">
      <c r="A22" s="225" t="s">
        <v>98</v>
      </c>
      <c r="B22" s="395">
        <f>ROUND('Vb. Peajes distribución'!B80,6)</f>
        <v>10.45008</v>
      </c>
      <c r="C22" s="396">
        <f>ROUND('Vb. Peajes distribución'!C80,6)</f>
        <v>6.6784140000000001</v>
      </c>
      <c r="D22" s="396">
        <f>ROUND('Vb. Peajes distribución'!D80,6)</f>
        <v>2.8668520000000002</v>
      </c>
      <c r="E22" s="396">
        <f>ROUND('Vb. Peajes distribución'!E80,6)</f>
        <v>2.4333390000000001</v>
      </c>
      <c r="F22" s="396">
        <f>ROUND('Vb. Peajes distribución'!F80,6)</f>
        <v>0.89180000000000004</v>
      </c>
      <c r="G22" s="397">
        <f>ROUND('Vb. Peajes distribución'!G80,6)</f>
        <v>0.89180000000000004</v>
      </c>
      <c r="H22" s="1"/>
      <c r="I22" s="395">
        <f>ROUND('Vb. Peajes distribución'!I80,6)</f>
        <v>1.8253999999999999E-2</v>
      </c>
      <c r="J22" s="396">
        <f>ROUND('Vb. Peajes distribución'!J80,6)</f>
        <v>9.8410000000000008E-3</v>
      </c>
      <c r="K22" s="396">
        <f>ROUND('Vb. Peajes distribución'!K80,6)</f>
        <v>5.7879999999999997E-3</v>
      </c>
      <c r="L22" s="396">
        <f>ROUND('Vb. Peajes distribución'!L80,6)</f>
        <v>4.1939999999999998E-3</v>
      </c>
      <c r="M22" s="396">
        <f>ROUND('Vb. Peajes distribución'!M80,6)</f>
        <v>3.39E-4</v>
      </c>
      <c r="N22" s="397">
        <f>ROUND('Vb. Peajes distribución'!N80,6)</f>
        <v>1.7899999999999999E-4</v>
      </c>
      <c r="P22" s="293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8" customHeight="1" x14ac:dyDescent="0.35">
      <c r="A23" s="225" t="s">
        <v>99</v>
      </c>
      <c r="B23" s="395">
        <f>ROUND('Vb. Peajes distribución'!B81,6)</f>
        <v>15.519534</v>
      </c>
      <c r="C23" s="396">
        <f>ROUND('Vb. Peajes distribución'!C81,6)</f>
        <v>9.661016</v>
      </c>
      <c r="D23" s="396">
        <f>ROUND('Vb. Peajes distribución'!D81,6)</f>
        <v>7.5412189999999999</v>
      </c>
      <c r="E23" s="396">
        <f>ROUND('Vb. Peajes distribución'!E81,6)</f>
        <v>5.9563459999999999</v>
      </c>
      <c r="F23" s="396">
        <f>ROUND('Vb. Peajes distribución'!F81,6)</f>
        <v>0.247027</v>
      </c>
      <c r="G23" s="397">
        <f>ROUND('Vb. Peajes distribución'!G81,6)</f>
        <v>0.247027</v>
      </c>
      <c r="H23" s="1"/>
      <c r="I23" s="395">
        <f>ROUND('Vb. Peajes distribución'!I81,6)</f>
        <v>1.6674999999999999E-2</v>
      </c>
      <c r="J23" s="396">
        <f>ROUND('Vb. Peajes distribución'!J81,6)</f>
        <v>8.9619999999999995E-3</v>
      </c>
      <c r="K23" s="396">
        <f>ROUND('Vb. Peajes distribución'!K81,6)</f>
        <v>5.6519999999999999E-3</v>
      </c>
      <c r="L23" s="396">
        <f>ROUND('Vb. Peajes distribución'!L81,6)</f>
        <v>4.1029999999999999E-3</v>
      </c>
      <c r="M23" s="396">
        <f>ROUND('Vb. Peajes distribución'!M81,6)</f>
        <v>3.2499999999999999E-4</v>
      </c>
      <c r="N23" s="397">
        <f>ROUND('Vb. Peajes distribución'!N81,6)</f>
        <v>1.63E-4</v>
      </c>
      <c r="P23" s="29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18" customHeight="1" x14ac:dyDescent="0.35">
      <c r="A24" s="225" t="s">
        <v>100</v>
      </c>
      <c r="B24" s="395">
        <f>ROUND('Vb. Peajes distribución'!B82,6)</f>
        <v>8.232863</v>
      </c>
      <c r="C24" s="396">
        <f>ROUND('Vb. Peajes distribución'!C82,6)</f>
        <v>5.6024560000000001</v>
      </c>
      <c r="D24" s="396">
        <f>ROUND('Vb. Peajes distribución'!D82,6)</f>
        <v>3.4711720000000001</v>
      </c>
      <c r="E24" s="396">
        <f>ROUND('Vb. Peajes distribución'!E82,6)</f>
        <v>2.9477820000000001</v>
      </c>
      <c r="F24" s="396">
        <f>ROUND('Vb. Peajes distribución'!F82,6)</f>
        <v>0.1447</v>
      </c>
      <c r="G24" s="397">
        <f>ROUND('Vb. Peajes distribución'!G82,6)</f>
        <v>0.1447</v>
      </c>
      <c r="H24" s="1"/>
      <c r="I24" s="395">
        <f>ROUND('Vb. Peajes distribución'!I82,6)</f>
        <v>7.4710000000000002E-3</v>
      </c>
      <c r="J24" s="396">
        <f>ROUND('Vb. Peajes distribución'!J82,6)</f>
        <v>4.2469999999999999E-3</v>
      </c>
      <c r="K24" s="396">
        <f>ROUND('Vb. Peajes distribución'!K82,6)</f>
        <v>2.2629999999999998E-3</v>
      </c>
      <c r="L24" s="396">
        <f>ROUND('Vb. Peajes distribución'!L82,6)</f>
        <v>1.73E-3</v>
      </c>
      <c r="M24" s="396">
        <f>ROUND('Vb. Peajes distribución'!M82,6)</f>
        <v>1.83E-4</v>
      </c>
      <c r="N24" s="397">
        <f>ROUND('Vb. Peajes distribución'!N82,6)</f>
        <v>5.0000000000000002E-5</v>
      </c>
      <c r="P24" s="293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8" customHeight="1" x14ac:dyDescent="0.35">
      <c r="A25" s="225" t="s">
        <v>101</v>
      </c>
      <c r="B25" s="395">
        <f>ROUND('Vb. Peajes distribución'!B83,6)</f>
        <v>5.0374780000000001</v>
      </c>
      <c r="C25" s="396">
        <f>ROUND('Vb. Peajes distribución'!C83,6)</f>
        <v>3.1032890000000002</v>
      </c>
      <c r="D25" s="396">
        <f>ROUND('Vb. Peajes distribución'!D83,6)</f>
        <v>2.5636869999999998</v>
      </c>
      <c r="E25" s="396">
        <f>ROUND('Vb. Peajes distribución'!E83,6)</f>
        <v>2.1046450000000001</v>
      </c>
      <c r="F25" s="396">
        <f>ROUND('Vb. Peajes distribución'!F83,6)</f>
        <v>0.209538</v>
      </c>
      <c r="G25" s="397">
        <f>ROUND('Vb. Peajes distribución'!G83,6)</f>
        <v>0.209538</v>
      </c>
      <c r="H25" s="1"/>
      <c r="I25" s="395">
        <f>ROUND('Vb. Peajes distribución'!I83,6)</f>
        <v>5.1190000000000003E-3</v>
      </c>
      <c r="J25" s="396">
        <f>ROUND('Vb. Peajes distribución'!J83,6)</f>
        <v>2.7929999999999999E-3</v>
      </c>
      <c r="K25" s="396">
        <f>ROUND('Vb. Peajes distribución'!K83,6)</f>
        <v>1.7639999999999999E-3</v>
      </c>
      <c r="L25" s="396">
        <f>ROUND('Vb. Peajes distribución'!L83,6)</f>
        <v>1.3359999999999999E-3</v>
      </c>
      <c r="M25" s="396">
        <f>ROUND('Vb. Peajes distribución'!M83,6)</f>
        <v>1.5200000000000001E-4</v>
      </c>
      <c r="N25" s="397">
        <f>ROUND('Vb. Peajes distribución'!N83,6)</f>
        <v>8.7999999999999998E-5</v>
      </c>
      <c r="P25" s="293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8" customHeight="1" thickBot="1" x14ac:dyDescent="0.4">
      <c r="A26" s="228" t="s">
        <v>102</v>
      </c>
      <c r="B26" s="398">
        <f>ROUND('Vb. Peajes distribución'!B84,6)</f>
        <v>0</v>
      </c>
      <c r="C26" s="399">
        <f>ROUND('Vb. Peajes distribución'!C84,6)</f>
        <v>0</v>
      </c>
      <c r="D26" s="399">
        <f>ROUND('Vb. Peajes distribución'!D84,6)</f>
        <v>0</v>
      </c>
      <c r="E26" s="399">
        <f>ROUND('Vb. Peajes distribución'!E84,6)</f>
        <v>0</v>
      </c>
      <c r="F26" s="399">
        <f>ROUND('Vb. Peajes distribución'!F84,6)</f>
        <v>0</v>
      </c>
      <c r="G26" s="400">
        <f>ROUND('Vb. Peajes distribución'!G84,6)</f>
        <v>0</v>
      </c>
      <c r="H26" s="1"/>
      <c r="I26" s="398">
        <f>ROUND('Vb. Peajes distribución'!I84,6)</f>
        <v>0</v>
      </c>
      <c r="J26" s="399">
        <f>ROUND('Vb. Peajes distribución'!J84,6)</f>
        <v>0</v>
      </c>
      <c r="K26" s="399">
        <f>ROUND('Vb. Peajes distribución'!K84,6)</f>
        <v>0</v>
      </c>
      <c r="L26" s="399">
        <f>ROUND('Vb. Peajes distribución'!L84,6)</f>
        <v>0</v>
      </c>
      <c r="M26" s="399">
        <f>ROUND('Vb. Peajes distribución'!M84,6)</f>
        <v>0</v>
      </c>
      <c r="N26" s="400">
        <f>ROUND('Vb. Peajes distribución'!N84,6)</f>
        <v>0</v>
      </c>
      <c r="P26" s="293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69" customFormat="1" ht="30" customHeight="1" x14ac:dyDescent="0.35">
      <c r="A27" s="2" t="s">
        <v>217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69" customFormat="1" ht="6.75" customHeight="1" x14ac:dyDescent="0.35"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5" customFormat="1" ht="16.5" customHeight="1" x14ac:dyDescent="0.35">
      <c r="A29" s="5" t="s">
        <v>219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5.25" customHeight="1" thickBot="1" x14ac:dyDescent="0.4"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24" customHeight="1" x14ac:dyDescent="0.35">
      <c r="A31" s="638" t="s">
        <v>96</v>
      </c>
      <c r="B31" s="162" t="s">
        <v>121</v>
      </c>
      <c r="C31" s="162"/>
      <c r="D31" s="162"/>
      <c r="E31" s="162"/>
      <c r="F31" s="162"/>
      <c r="G31" s="163"/>
      <c r="I31" s="180" t="s">
        <v>122</v>
      </c>
      <c r="J31" s="162"/>
      <c r="K31" s="162"/>
      <c r="L31" s="162"/>
      <c r="M31" s="162"/>
      <c r="N31" s="163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24" customHeight="1" x14ac:dyDescent="0.35">
      <c r="A32" s="639"/>
      <c r="B32" s="164" t="s">
        <v>15</v>
      </c>
      <c r="C32" s="164" t="s">
        <v>16</v>
      </c>
      <c r="D32" s="164" t="s">
        <v>17</v>
      </c>
      <c r="E32" s="164" t="s">
        <v>18</v>
      </c>
      <c r="F32" s="164" t="s">
        <v>19</v>
      </c>
      <c r="G32" s="165" t="s">
        <v>20</v>
      </c>
      <c r="I32" s="181" t="s">
        <v>15</v>
      </c>
      <c r="J32" s="164" t="s">
        <v>16</v>
      </c>
      <c r="K32" s="164" t="s">
        <v>17</v>
      </c>
      <c r="L32" s="164" t="s">
        <v>18</v>
      </c>
      <c r="M32" s="164" t="s">
        <v>19</v>
      </c>
      <c r="N32" s="165" t="s">
        <v>20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8" customHeight="1" x14ac:dyDescent="0.35">
      <c r="A33" s="222" t="s">
        <v>97</v>
      </c>
      <c r="B33" s="488">
        <f>B11+B21</f>
        <v>22.401745999999999</v>
      </c>
      <c r="C33" s="488">
        <f t="shared" ref="C33:G33" si="0">C11+C21</f>
        <v>0.77656399999999992</v>
      </c>
      <c r="D33" s="489">
        <f t="shared" si="0"/>
        <v>0</v>
      </c>
      <c r="E33" s="489">
        <f t="shared" si="0"/>
        <v>0</v>
      </c>
      <c r="F33" s="489">
        <f t="shared" si="0"/>
        <v>0</v>
      </c>
      <c r="G33" s="490">
        <f t="shared" si="0"/>
        <v>0</v>
      </c>
      <c r="H33" s="1"/>
      <c r="I33" s="595">
        <f>I11+I21</f>
        <v>3.3080999999999999E-2</v>
      </c>
      <c r="J33" s="488">
        <f t="shared" ref="J33:N33" si="1">J11+J21</f>
        <v>1.9184E-2</v>
      </c>
      <c r="K33" s="394">
        <f t="shared" si="1"/>
        <v>5.5699999999999999E-4</v>
      </c>
      <c r="L33" s="489">
        <f t="shared" si="1"/>
        <v>0</v>
      </c>
      <c r="M33" s="489">
        <f t="shared" si="1"/>
        <v>0</v>
      </c>
      <c r="N33" s="490">
        <f t="shared" si="1"/>
        <v>0</v>
      </c>
      <c r="P33" s="494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8" customHeight="1" x14ac:dyDescent="0.35">
      <c r="A34" s="225" t="s">
        <v>98</v>
      </c>
      <c r="B34" s="487">
        <f t="shared" ref="B34:G34" si="2">B12+B22</f>
        <v>11.99783</v>
      </c>
      <c r="C34" s="487">
        <f t="shared" si="2"/>
        <v>7.687805</v>
      </c>
      <c r="D34" s="487">
        <f t="shared" si="2"/>
        <v>3.3074370000000002</v>
      </c>
      <c r="E34" s="487">
        <f t="shared" si="2"/>
        <v>2.7917860000000001</v>
      </c>
      <c r="F34" s="487">
        <f t="shared" si="2"/>
        <v>0.93443500000000002</v>
      </c>
      <c r="G34" s="491">
        <f t="shared" si="2"/>
        <v>0.93443500000000002</v>
      </c>
      <c r="H34" s="1"/>
      <c r="I34" s="596">
        <f t="shared" ref="I34:N34" si="3">I12+I22</f>
        <v>2.3973999999999999E-2</v>
      </c>
      <c r="J34" s="487">
        <f t="shared" si="3"/>
        <v>1.2820000000000002E-2</v>
      </c>
      <c r="K34" s="487">
        <f t="shared" si="3"/>
        <v>7.5729999999999999E-3</v>
      </c>
      <c r="L34" s="487">
        <f t="shared" si="3"/>
        <v>5.4949999999999999E-3</v>
      </c>
      <c r="M34" s="487">
        <f t="shared" si="3"/>
        <v>4.2400000000000001E-4</v>
      </c>
      <c r="N34" s="491">
        <f t="shared" si="3"/>
        <v>2.34E-4</v>
      </c>
      <c r="P34" s="494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8" customHeight="1" x14ac:dyDescent="0.35">
      <c r="A35" s="225" t="s">
        <v>99</v>
      </c>
      <c r="B35" s="487">
        <f t="shared" ref="B35:G35" si="4">B13+B23</f>
        <v>20.557850000000002</v>
      </c>
      <c r="C35" s="487">
        <f t="shared" si="4"/>
        <v>12.762884</v>
      </c>
      <c r="D35" s="487">
        <f t="shared" si="4"/>
        <v>9.9262510000000006</v>
      </c>
      <c r="E35" s="487">
        <f t="shared" si="4"/>
        <v>7.8483799999999997</v>
      </c>
      <c r="F35" s="487">
        <f t="shared" si="4"/>
        <v>0.32514100000000001</v>
      </c>
      <c r="G35" s="491">
        <f t="shared" si="4"/>
        <v>0.32514100000000001</v>
      </c>
      <c r="H35" s="1"/>
      <c r="I35" s="596">
        <f t="shared" ref="I35:N35" si="5">I13+I23</f>
        <v>2.1898999999999998E-2</v>
      </c>
      <c r="J35" s="487">
        <f t="shared" si="5"/>
        <v>1.1675E-2</v>
      </c>
      <c r="K35" s="487">
        <f t="shared" si="5"/>
        <v>7.3939999999999995E-3</v>
      </c>
      <c r="L35" s="487">
        <f t="shared" si="5"/>
        <v>5.3759999999999997E-3</v>
      </c>
      <c r="M35" s="487">
        <f t="shared" si="5"/>
        <v>4.06E-4</v>
      </c>
      <c r="N35" s="491">
        <f t="shared" si="5"/>
        <v>2.12E-4</v>
      </c>
      <c r="P35" s="49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8" customHeight="1" x14ac:dyDescent="0.35">
      <c r="A36" s="225" t="s">
        <v>100</v>
      </c>
      <c r="B36" s="487">
        <f t="shared" ref="B36:G36" si="6">B14+B24</f>
        <v>13.138413</v>
      </c>
      <c r="C36" s="487">
        <f t="shared" si="6"/>
        <v>8.7512070000000008</v>
      </c>
      <c r="D36" s="487">
        <f t="shared" si="6"/>
        <v>5.6156699999999997</v>
      </c>
      <c r="E36" s="487">
        <f t="shared" si="6"/>
        <v>4.6711179999999999</v>
      </c>
      <c r="F36" s="487">
        <f t="shared" si="6"/>
        <v>0.23847499999999999</v>
      </c>
      <c r="G36" s="491">
        <f t="shared" si="6"/>
        <v>0.23847499999999999</v>
      </c>
      <c r="H36" s="1"/>
      <c r="I36" s="596">
        <f t="shared" ref="I36:N36" si="7">I14+I24</f>
        <v>1.1872000000000001E-2</v>
      </c>
      <c r="J36" s="487">
        <f t="shared" si="7"/>
        <v>6.5299999999999993E-3</v>
      </c>
      <c r="K36" s="487">
        <f t="shared" si="7"/>
        <v>3.686E-3</v>
      </c>
      <c r="L36" s="487">
        <f t="shared" si="7"/>
        <v>2.774E-3</v>
      </c>
      <c r="M36" s="487">
        <f t="shared" si="7"/>
        <v>2.4899999999999998E-4</v>
      </c>
      <c r="N36" s="491">
        <f t="shared" si="7"/>
        <v>9.0000000000000006E-5</v>
      </c>
      <c r="P36" s="494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8" customHeight="1" x14ac:dyDescent="0.35">
      <c r="A37" s="225" t="s">
        <v>101</v>
      </c>
      <c r="B37" s="487">
        <f t="shared" ref="B37:G37" si="8">B15+B25</f>
        <v>10.474292999999999</v>
      </c>
      <c r="C37" s="487">
        <f t="shared" si="8"/>
        <v>6.5104199999999999</v>
      </c>
      <c r="D37" s="487">
        <f t="shared" si="8"/>
        <v>5.2417239999999996</v>
      </c>
      <c r="E37" s="487">
        <f t="shared" si="8"/>
        <v>4.1388350000000003</v>
      </c>
      <c r="F37" s="487">
        <f t="shared" si="8"/>
        <v>0.34146500000000002</v>
      </c>
      <c r="G37" s="491">
        <f t="shared" si="8"/>
        <v>0.34146500000000002</v>
      </c>
      <c r="H37" s="1"/>
      <c r="I37" s="596">
        <f t="shared" ref="I37:N37" si="9">I15+I25</f>
        <v>1.0399E-2</v>
      </c>
      <c r="J37" s="487">
        <f t="shared" si="9"/>
        <v>5.6509999999999998E-3</v>
      </c>
      <c r="K37" s="487">
        <f t="shared" si="9"/>
        <v>3.6029999999999999E-3</v>
      </c>
      <c r="L37" s="487">
        <f t="shared" si="9"/>
        <v>2.6589999999999999E-3</v>
      </c>
      <c r="M37" s="487">
        <f t="shared" si="9"/>
        <v>2.3800000000000001E-4</v>
      </c>
      <c r="N37" s="491">
        <f t="shared" si="9"/>
        <v>1.3999999999999999E-4</v>
      </c>
      <c r="P37" s="494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8" customHeight="1" thickBot="1" x14ac:dyDescent="0.4">
      <c r="A38" s="228" t="s">
        <v>102</v>
      </c>
      <c r="B38" s="492">
        <f t="shared" ref="B38:G38" si="10">B16+B26</f>
        <v>7.3105599999999997</v>
      </c>
      <c r="C38" s="492">
        <f t="shared" si="10"/>
        <v>4.1164300000000003</v>
      </c>
      <c r="D38" s="492">
        <f t="shared" si="10"/>
        <v>3.1618219999999999</v>
      </c>
      <c r="E38" s="492">
        <f t="shared" si="10"/>
        <v>2.8773849999999999</v>
      </c>
      <c r="F38" s="492">
        <f t="shared" si="10"/>
        <v>0.194493</v>
      </c>
      <c r="G38" s="493">
        <f t="shared" si="10"/>
        <v>0.194493</v>
      </c>
      <c r="H38" s="1"/>
      <c r="I38" s="597">
        <f t="shared" ref="I38:N38" si="11">I16+I26</f>
        <v>8.7569999999999992E-3</v>
      </c>
      <c r="J38" s="492">
        <f t="shared" si="11"/>
        <v>4.8060000000000004E-3</v>
      </c>
      <c r="K38" s="492">
        <f t="shared" si="11"/>
        <v>3.0669999999999998E-3</v>
      </c>
      <c r="L38" s="492">
        <f t="shared" si="11"/>
        <v>2.2060000000000001E-3</v>
      </c>
      <c r="M38" s="492">
        <f t="shared" si="11"/>
        <v>1.3899999999999999E-4</v>
      </c>
      <c r="N38" s="493">
        <f t="shared" si="11"/>
        <v>8.8999999999999995E-5</v>
      </c>
      <c r="P38" s="494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x14ac:dyDescent="0.35">
      <c r="B39" s="293"/>
      <c r="C39" s="293"/>
      <c r="D39" s="290"/>
      <c r="E39" s="29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5" customFormat="1" ht="16.5" customHeight="1" x14ac:dyDescent="0.35">
      <c r="A40" s="5" t="s">
        <v>192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5.25" customHeight="1" thickBot="1" x14ac:dyDescent="0.4">
      <c r="A41" s="191"/>
      <c r="B41" s="192"/>
      <c r="C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24" customHeight="1" x14ac:dyDescent="0.35">
      <c r="A42" s="638" t="s">
        <v>52</v>
      </c>
      <c r="B42" s="162" t="s">
        <v>94</v>
      </c>
      <c r="C42" s="162"/>
      <c r="D42" s="162"/>
      <c r="E42" s="162"/>
      <c r="F42" s="162"/>
      <c r="G42" s="163"/>
      <c r="I42" s="180" t="s">
        <v>95</v>
      </c>
      <c r="J42" s="162"/>
      <c r="K42" s="162"/>
      <c r="L42" s="162"/>
      <c r="M42" s="162"/>
      <c r="N42" s="163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24" customHeight="1" x14ac:dyDescent="0.35">
      <c r="A43" s="639"/>
      <c r="B43" s="164" t="s">
        <v>15</v>
      </c>
      <c r="C43" s="164" t="s">
        <v>16</v>
      </c>
      <c r="D43" s="164" t="s">
        <v>17</v>
      </c>
      <c r="E43" s="164" t="s">
        <v>18</v>
      </c>
      <c r="F43" s="164" t="s">
        <v>19</v>
      </c>
      <c r="G43" s="165" t="s">
        <v>20</v>
      </c>
      <c r="I43" s="181" t="s">
        <v>15</v>
      </c>
      <c r="J43" s="164" t="s">
        <v>16</v>
      </c>
      <c r="K43" s="164" t="s">
        <v>17</v>
      </c>
      <c r="L43" s="164" t="s">
        <v>18</v>
      </c>
      <c r="M43" s="164" t="s">
        <v>19</v>
      </c>
      <c r="N43" s="165" t="s">
        <v>20</v>
      </c>
    </row>
    <row r="44" spans="1:33" ht="15" customHeight="1" x14ac:dyDescent="0.35">
      <c r="A44" s="222" t="s">
        <v>97</v>
      </c>
      <c r="B44" s="193">
        <f>B33/$C$33</f>
        <v>28.847263071685013</v>
      </c>
      <c r="C44" s="193">
        <f>C33/$C$33</f>
        <v>1</v>
      </c>
      <c r="D44" s="193"/>
      <c r="E44" s="193"/>
      <c r="F44" s="193"/>
      <c r="G44" s="196"/>
      <c r="I44" s="195">
        <f>I33/$K$33</f>
        <v>59.391382405745063</v>
      </c>
      <c r="J44" s="193">
        <f t="shared" ref="J44:K44" si="12">J33/$K$33</f>
        <v>34.441651705565533</v>
      </c>
      <c r="K44" s="193">
        <f t="shared" si="12"/>
        <v>1</v>
      </c>
      <c r="L44" s="193"/>
      <c r="M44" s="193"/>
      <c r="N44" s="196"/>
      <c r="P44" s="293"/>
      <c r="Q44" s="293"/>
      <c r="R44" s="293"/>
      <c r="S44" s="293"/>
      <c r="T44" s="293"/>
      <c r="U44" s="293"/>
    </row>
    <row r="45" spans="1:33" ht="15" customHeight="1" x14ac:dyDescent="0.35">
      <c r="A45" s="225" t="s">
        <v>98</v>
      </c>
      <c r="B45" s="194">
        <f t="shared" ref="B45:G49" si="13">B34/$G34</f>
        <v>12.839662469834714</v>
      </c>
      <c r="C45" s="194">
        <f t="shared" si="13"/>
        <v>8.2272228672941399</v>
      </c>
      <c r="D45" s="194">
        <f t="shared" si="13"/>
        <v>3.539504620439089</v>
      </c>
      <c r="E45" s="194">
        <f t="shared" si="13"/>
        <v>2.9876727648258039</v>
      </c>
      <c r="F45" s="194">
        <f t="shared" si="13"/>
        <v>1</v>
      </c>
      <c r="G45" s="198">
        <f t="shared" si="13"/>
        <v>1</v>
      </c>
      <c r="I45" s="197">
        <f t="shared" ref="I45:N49" si="14">I34/$N34</f>
        <v>102.45299145299145</v>
      </c>
      <c r="J45" s="194">
        <f t="shared" si="14"/>
        <v>54.786324786324791</v>
      </c>
      <c r="K45" s="194">
        <f t="shared" si="14"/>
        <v>32.363247863247864</v>
      </c>
      <c r="L45" s="194">
        <f t="shared" si="14"/>
        <v>23.482905982905983</v>
      </c>
      <c r="M45" s="194">
        <f t="shared" si="14"/>
        <v>1.811965811965812</v>
      </c>
      <c r="N45" s="198">
        <f t="shared" si="14"/>
        <v>1</v>
      </c>
      <c r="P45" s="293"/>
      <c r="Q45" s="293"/>
      <c r="R45" s="293"/>
      <c r="S45" s="293"/>
      <c r="T45" s="293"/>
      <c r="U45" s="293"/>
    </row>
    <row r="46" spans="1:33" ht="15" customHeight="1" x14ac:dyDescent="0.35">
      <c r="A46" s="225" t="s">
        <v>99</v>
      </c>
      <c r="B46" s="194">
        <f t="shared" si="13"/>
        <v>63.227492072670017</v>
      </c>
      <c r="C46" s="194">
        <f t="shared" si="13"/>
        <v>39.253382378721845</v>
      </c>
      <c r="D46" s="194">
        <f t="shared" si="13"/>
        <v>30.529065851430612</v>
      </c>
      <c r="E46" s="194">
        <f t="shared" si="13"/>
        <v>24.138389191150914</v>
      </c>
      <c r="F46" s="194">
        <f t="shared" si="13"/>
        <v>1</v>
      </c>
      <c r="G46" s="198">
        <f t="shared" si="13"/>
        <v>1</v>
      </c>
      <c r="I46" s="197">
        <f t="shared" si="14"/>
        <v>103.29716981132074</v>
      </c>
      <c r="J46" s="194">
        <f t="shared" si="14"/>
        <v>55.070754716981128</v>
      </c>
      <c r="K46" s="194">
        <f t="shared" si="14"/>
        <v>34.877358490566039</v>
      </c>
      <c r="L46" s="194">
        <f t="shared" si="14"/>
        <v>25.358490566037734</v>
      </c>
      <c r="M46" s="194">
        <f t="shared" si="14"/>
        <v>1.9150943396226414</v>
      </c>
      <c r="N46" s="198">
        <f t="shared" si="14"/>
        <v>1</v>
      </c>
      <c r="P46" s="293"/>
      <c r="Q46" s="293"/>
      <c r="R46" s="293"/>
      <c r="S46" s="293"/>
      <c r="T46" s="293"/>
      <c r="U46" s="293"/>
    </row>
    <row r="47" spans="1:33" ht="15" customHeight="1" x14ac:dyDescent="0.35">
      <c r="A47" s="225" t="s">
        <v>100</v>
      </c>
      <c r="B47" s="194">
        <f t="shared" si="13"/>
        <v>55.093460530453925</v>
      </c>
      <c r="C47" s="194">
        <f t="shared" si="13"/>
        <v>36.696538421218165</v>
      </c>
      <c r="D47" s="194">
        <f t="shared" si="13"/>
        <v>23.548254534018241</v>
      </c>
      <c r="E47" s="194">
        <f t="shared" si="13"/>
        <v>19.587453611489675</v>
      </c>
      <c r="F47" s="194">
        <f t="shared" si="13"/>
        <v>1</v>
      </c>
      <c r="G47" s="198">
        <f t="shared" si="13"/>
        <v>1</v>
      </c>
      <c r="I47" s="197">
        <f t="shared" si="14"/>
        <v>131.9111111111111</v>
      </c>
      <c r="J47" s="194">
        <f t="shared" si="14"/>
        <v>72.555555555555543</v>
      </c>
      <c r="K47" s="194">
        <f t="shared" si="14"/>
        <v>40.955555555555556</v>
      </c>
      <c r="L47" s="194">
        <f t="shared" si="14"/>
        <v>30.822222222222219</v>
      </c>
      <c r="M47" s="194">
        <f t="shared" si="14"/>
        <v>2.7666666666666662</v>
      </c>
      <c r="N47" s="198">
        <f t="shared" si="14"/>
        <v>1</v>
      </c>
      <c r="P47" s="293"/>
      <c r="Q47" s="293"/>
      <c r="R47" s="293"/>
      <c r="S47" s="293"/>
      <c r="T47" s="293"/>
      <c r="U47" s="293"/>
    </row>
    <row r="48" spans="1:33" ht="15" customHeight="1" x14ac:dyDescent="0.35">
      <c r="A48" s="225" t="s">
        <v>101</v>
      </c>
      <c r="B48" s="194">
        <f t="shared" si="13"/>
        <v>30.674572796626297</v>
      </c>
      <c r="C48" s="194">
        <f t="shared" si="13"/>
        <v>19.066141478628847</v>
      </c>
      <c r="D48" s="194">
        <f t="shared" si="13"/>
        <v>15.350691871787737</v>
      </c>
      <c r="E48" s="194">
        <f t="shared" si="13"/>
        <v>12.120817653346609</v>
      </c>
      <c r="F48" s="194">
        <f t="shared" si="13"/>
        <v>1</v>
      </c>
      <c r="G48" s="198">
        <f t="shared" si="13"/>
        <v>1</v>
      </c>
      <c r="I48" s="197">
        <f t="shared" si="14"/>
        <v>74.278571428571439</v>
      </c>
      <c r="J48" s="194">
        <f t="shared" si="14"/>
        <v>40.364285714285714</v>
      </c>
      <c r="K48" s="194">
        <f t="shared" si="14"/>
        <v>25.735714285714288</v>
      </c>
      <c r="L48" s="194">
        <f t="shared" si="14"/>
        <v>18.992857142857144</v>
      </c>
      <c r="M48" s="194">
        <f t="shared" si="14"/>
        <v>1.7000000000000002</v>
      </c>
      <c r="N48" s="198">
        <f t="shared" si="14"/>
        <v>1</v>
      </c>
      <c r="P48" s="293"/>
      <c r="Q48" s="293"/>
      <c r="R48" s="293"/>
      <c r="S48" s="293"/>
      <c r="T48" s="293"/>
      <c r="U48" s="293"/>
    </row>
    <row r="49" spans="1:21" ht="15" customHeight="1" thickBot="1" x14ac:dyDescent="0.4">
      <c r="A49" s="228" t="s">
        <v>102</v>
      </c>
      <c r="B49" s="200">
        <f t="shared" si="13"/>
        <v>37.587779508774091</v>
      </c>
      <c r="C49" s="200">
        <f t="shared" si="13"/>
        <v>21.164926244132182</v>
      </c>
      <c r="D49" s="200">
        <f t="shared" si="13"/>
        <v>16.256739317096244</v>
      </c>
      <c r="E49" s="200">
        <f t="shared" si="13"/>
        <v>14.794285655524877</v>
      </c>
      <c r="F49" s="200">
        <f t="shared" si="13"/>
        <v>1</v>
      </c>
      <c r="G49" s="201">
        <f t="shared" si="13"/>
        <v>1</v>
      </c>
      <c r="I49" s="199">
        <f t="shared" si="14"/>
        <v>98.393258426966284</v>
      </c>
      <c r="J49" s="200">
        <f t="shared" si="14"/>
        <v>54.000000000000007</v>
      </c>
      <c r="K49" s="200">
        <f t="shared" si="14"/>
        <v>34.460674157303373</v>
      </c>
      <c r="L49" s="200">
        <f t="shared" si="14"/>
        <v>24.786516853932586</v>
      </c>
      <c r="M49" s="200">
        <f t="shared" si="14"/>
        <v>1.5617977528089888</v>
      </c>
      <c r="N49" s="201">
        <f t="shared" si="14"/>
        <v>1</v>
      </c>
      <c r="P49" s="293"/>
      <c r="Q49" s="293"/>
      <c r="R49" s="293"/>
      <c r="S49" s="293"/>
      <c r="T49" s="293"/>
      <c r="U49" s="293"/>
    </row>
    <row r="71" spans="1:14" s="5" customFormat="1" ht="16.5" customHeight="1" x14ac:dyDescent="0.35">
      <c r="A71" s="5" t="s">
        <v>113</v>
      </c>
    </row>
    <row r="72" spans="1:14" ht="5.25" customHeight="1" thickBot="1" x14ac:dyDescent="0.4">
      <c r="A72" s="191"/>
      <c r="B72" s="192"/>
      <c r="C72" s="40"/>
    </row>
    <row r="73" spans="1:14" ht="18" customHeight="1" x14ac:dyDescent="0.35">
      <c r="A73" s="638" t="s">
        <v>52</v>
      </c>
      <c r="B73" s="162" t="s">
        <v>94</v>
      </c>
      <c r="C73" s="162"/>
      <c r="D73" s="162"/>
      <c r="E73" s="162"/>
      <c r="F73" s="162"/>
      <c r="G73" s="163"/>
      <c r="I73" s="180" t="s">
        <v>95</v>
      </c>
      <c r="J73" s="162"/>
      <c r="K73" s="162"/>
      <c r="L73" s="162"/>
      <c r="M73" s="162"/>
      <c r="N73" s="163"/>
    </row>
    <row r="74" spans="1:14" ht="18" customHeight="1" x14ac:dyDescent="0.35">
      <c r="A74" s="639"/>
      <c r="B74" s="164" t="s">
        <v>15</v>
      </c>
      <c r="C74" s="164" t="s">
        <v>16</v>
      </c>
      <c r="D74" s="164" t="s">
        <v>17</v>
      </c>
      <c r="E74" s="164" t="s">
        <v>18</v>
      </c>
      <c r="F74" s="164" t="s">
        <v>19</v>
      </c>
      <c r="G74" s="165" t="s">
        <v>20</v>
      </c>
      <c r="I74" s="181" t="s">
        <v>15</v>
      </c>
      <c r="J74" s="164" t="s">
        <v>16</v>
      </c>
      <c r="K74" s="164" t="s">
        <v>17</v>
      </c>
      <c r="L74" s="164" t="s">
        <v>18</v>
      </c>
      <c r="M74" s="164" t="s">
        <v>19</v>
      </c>
      <c r="N74" s="165" t="s">
        <v>20</v>
      </c>
    </row>
    <row r="75" spans="1:14" ht="18" customHeight="1" x14ac:dyDescent="0.35">
      <c r="A75" s="168" t="s">
        <v>10</v>
      </c>
      <c r="B75" s="193">
        <f t="shared" ref="B75:G79" si="15">B34/B$38</f>
        <v>1.6411642883718895</v>
      </c>
      <c r="C75" s="193">
        <f t="shared" si="15"/>
        <v>1.8675903634945814</v>
      </c>
      <c r="D75" s="193">
        <f t="shared" si="15"/>
        <v>1.0460541422002885</v>
      </c>
      <c r="E75" s="193">
        <f t="shared" si="15"/>
        <v>0.97025111342416825</v>
      </c>
      <c r="F75" s="193">
        <f t="shared" si="15"/>
        <v>4.8044659704976533</v>
      </c>
      <c r="G75" s="196">
        <f t="shared" si="15"/>
        <v>4.8044659704976533</v>
      </c>
      <c r="I75" s="195">
        <f t="shared" ref="I75:N79" si="16">I34/I$38</f>
        <v>2.7376955578394431</v>
      </c>
      <c r="J75" s="193">
        <f t="shared" si="16"/>
        <v>2.6674989596337912</v>
      </c>
      <c r="K75" s="193">
        <f t="shared" si="16"/>
        <v>2.4691881317248128</v>
      </c>
      <c r="L75" s="193">
        <f t="shared" si="16"/>
        <v>2.4909338168631003</v>
      </c>
      <c r="M75" s="193">
        <f t="shared" si="16"/>
        <v>3.050359712230216</v>
      </c>
      <c r="N75" s="196">
        <f t="shared" si="16"/>
        <v>2.6292134831460676</v>
      </c>
    </row>
    <row r="76" spans="1:14" ht="18" customHeight="1" x14ac:dyDescent="0.35">
      <c r="A76" s="171" t="s">
        <v>11</v>
      </c>
      <c r="B76" s="194">
        <f t="shared" si="15"/>
        <v>2.8120759558775257</v>
      </c>
      <c r="C76" s="194">
        <f t="shared" si="15"/>
        <v>3.100473954373085</v>
      </c>
      <c r="D76" s="194">
        <f t="shared" si="15"/>
        <v>3.1394085435549504</v>
      </c>
      <c r="E76" s="194">
        <f t="shared" si="15"/>
        <v>2.7276085751472259</v>
      </c>
      <c r="F76" s="194">
        <f t="shared" si="15"/>
        <v>1.6717362578601802</v>
      </c>
      <c r="G76" s="198">
        <f t="shared" si="15"/>
        <v>1.6717362578601802</v>
      </c>
      <c r="I76" s="197">
        <f t="shared" si="16"/>
        <v>2.5007422633321914</v>
      </c>
      <c r="J76" s="194">
        <f t="shared" si="16"/>
        <v>2.4292550977944232</v>
      </c>
      <c r="K76" s="194">
        <f t="shared" si="16"/>
        <v>2.4108249103358332</v>
      </c>
      <c r="L76" s="194">
        <f t="shared" si="16"/>
        <v>2.4369900271985494</v>
      </c>
      <c r="M76" s="194">
        <f t="shared" si="16"/>
        <v>2.920863309352518</v>
      </c>
      <c r="N76" s="198">
        <f t="shared" si="16"/>
        <v>2.3820224719101124</v>
      </c>
    </row>
    <row r="77" spans="1:14" ht="18" customHeight="1" x14ac:dyDescent="0.35">
      <c r="A77" s="171" t="s">
        <v>12</v>
      </c>
      <c r="B77" s="194">
        <f t="shared" si="15"/>
        <v>1.7971828423540741</v>
      </c>
      <c r="C77" s="194">
        <f t="shared" si="15"/>
        <v>2.1259214902233246</v>
      </c>
      <c r="D77" s="194">
        <f t="shared" si="15"/>
        <v>1.7760866993777638</v>
      </c>
      <c r="E77" s="194">
        <f t="shared" si="15"/>
        <v>1.623389987784047</v>
      </c>
      <c r="F77" s="194">
        <f t="shared" si="15"/>
        <v>1.226136673299296</v>
      </c>
      <c r="G77" s="198">
        <f t="shared" si="15"/>
        <v>1.226136673299296</v>
      </c>
      <c r="I77" s="197">
        <f t="shared" si="16"/>
        <v>1.355715427657874</v>
      </c>
      <c r="J77" s="194">
        <f t="shared" si="16"/>
        <v>1.3587182688306281</v>
      </c>
      <c r="K77" s="194">
        <f t="shared" si="16"/>
        <v>1.2018258884903816</v>
      </c>
      <c r="L77" s="194">
        <f t="shared" si="16"/>
        <v>1.2574796010879419</v>
      </c>
      <c r="M77" s="194">
        <f t="shared" si="16"/>
        <v>1.7913669064748201</v>
      </c>
      <c r="N77" s="198">
        <f t="shared" si="16"/>
        <v>1.0112359550561798</v>
      </c>
    </row>
    <row r="78" spans="1:14" ht="18" customHeight="1" x14ac:dyDescent="0.35">
      <c r="A78" s="171" t="s">
        <v>13</v>
      </c>
      <c r="B78" s="194">
        <f t="shared" si="15"/>
        <v>1.4327620592676895</v>
      </c>
      <c r="C78" s="194">
        <f t="shared" si="15"/>
        <v>1.5815694667466711</v>
      </c>
      <c r="D78" s="194">
        <f t="shared" si="15"/>
        <v>1.6578175495015215</v>
      </c>
      <c r="E78" s="194">
        <f t="shared" si="15"/>
        <v>1.4384015347268442</v>
      </c>
      <c r="F78" s="194">
        <f t="shared" si="15"/>
        <v>1.7556672990801727</v>
      </c>
      <c r="G78" s="198">
        <f t="shared" si="15"/>
        <v>1.7556672990801727</v>
      </c>
      <c r="I78" s="197">
        <f t="shared" si="16"/>
        <v>1.1875071371474251</v>
      </c>
      <c r="J78" s="194">
        <f t="shared" si="16"/>
        <v>1.1758218893050352</v>
      </c>
      <c r="K78" s="194">
        <f t="shared" si="16"/>
        <v>1.1747636126507988</v>
      </c>
      <c r="L78" s="194">
        <f t="shared" si="16"/>
        <v>1.2053490480507705</v>
      </c>
      <c r="M78" s="194">
        <f t="shared" si="16"/>
        <v>1.7122302158273384</v>
      </c>
      <c r="N78" s="198">
        <f t="shared" si="16"/>
        <v>1.5730337078651684</v>
      </c>
    </row>
    <row r="79" spans="1:14" ht="18" customHeight="1" thickBot="1" x14ac:dyDescent="0.4">
      <c r="A79" s="174" t="s">
        <v>14</v>
      </c>
      <c r="B79" s="283">
        <f t="shared" si="15"/>
        <v>1</v>
      </c>
      <c r="C79" s="283">
        <f t="shared" si="15"/>
        <v>1</v>
      </c>
      <c r="D79" s="283">
        <f t="shared" si="15"/>
        <v>1</v>
      </c>
      <c r="E79" s="283">
        <f t="shared" si="15"/>
        <v>1</v>
      </c>
      <c r="F79" s="283">
        <f t="shared" si="15"/>
        <v>1</v>
      </c>
      <c r="G79" s="284">
        <f t="shared" si="15"/>
        <v>1</v>
      </c>
      <c r="I79" s="285">
        <f t="shared" si="16"/>
        <v>1</v>
      </c>
      <c r="J79" s="283">
        <f t="shared" si="16"/>
        <v>1</v>
      </c>
      <c r="K79" s="283">
        <f t="shared" si="16"/>
        <v>1</v>
      </c>
      <c r="L79" s="283">
        <f t="shared" si="16"/>
        <v>1</v>
      </c>
      <c r="M79" s="283">
        <f t="shared" si="16"/>
        <v>1</v>
      </c>
      <c r="N79" s="284">
        <f t="shared" si="16"/>
        <v>1</v>
      </c>
    </row>
    <row r="81" spans="1:11" s="5" customFormat="1" ht="16.5" customHeight="1" x14ac:dyDescent="0.35">
      <c r="A81" s="5" t="s">
        <v>132</v>
      </c>
    </row>
    <row r="83" spans="1:11" s="391" customFormat="1" ht="16.5" customHeight="1" x14ac:dyDescent="0.35">
      <c r="A83" s="391" t="s">
        <v>133</v>
      </c>
    </row>
    <row r="84" spans="1:11" ht="5.25" customHeight="1" thickBot="1" x14ac:dyDescent="0.4"/>
    <row r="85" spans="1:11" ht="22.5" customHeight="1" x14ac:dyDescent="0.35">
      <c r="A85" s="638" t="s">
        <v>96</v>
      </c>
      <c r="B85" s="162" t="s">
        <v>128</v>
      </c>
      <c r="C85" s="162"/>
      <c r="D85" s="162"/>
      <c r="E85" s="640" t="s">
        <v>123</v>
      </c>
      <c r="I85" s="180" t="s">
        <v>227</v>
      </c>
      <c r="J85" s="162"/>
      <c r="K85" s="163"/>
    </row>
    <row r="86" spans="1:11" ht="25.5" x14ac:dyDescent="0.35">
      <c r="A86" s="639"/>
      <c r="B86" s="239" t="s">
        <v>94</v>
      </c>
      <c r="C86" s="239" t="s">
        <v>95</v>
      </c>
      <c r="D86" s="239" t="s">
        <v>4</v>
      </c>
      <c r="E86" s="641"/>
      <c r="I86" s="540" t="s">
        <v>94</v>
      </c>
      <c r="J86" s="239" t="s">
        <v>95</v>
      </c>
      <c r="K86" s="307" t="s">
        <v>4</v>
      </c>
    </row>
    <row r="87" spans="1:11" ht="18" customHeight="1" x14ac:dyDescent="0.35">
      <c r="A87" s="222" t="s">
        <v>97</v>
      </c>
      <c r="B87" s="240">
        <f>'VI. Diseño del Peaje 2.0 TD'!B78</f>
        <v>2936884.089909168</v>
      </c>
      <c r="C87" s="240">
        <f>'VI. Diseño del Peaje 2.0 TD'!C78</f>
        <v>978961.36330305587</v>
      </c>
      <c r="D87" s="241">
        <f>SUM(B87:C87)</f>
        <v>3915845.4532122239</v>
      </c>
      <c r="E87" s="244">
        <f>B87/D87</f>
        <v>0.75</v>
      </c>
      <c r="I87" s="559">
        <f>B87/'I. Datos de entrada'!$I108</f>
        <v>42.516539420168755</v>
      </c>
      <c r="J87" s="555">
        <f>C87/'I. Datos de entrada'!$I108</f>
        <v>14.172179806722918</v>
      </c>
      <c r="K87" s="560">
        <f>D87/'I. Datos de entrada'!$I108</f>
        <v>56.688719226891678</v>
      </c>
    </row>
    <row r="88" spans="1:11" ht="18" customHeight="1" x14ac:dyDescent="0.35">
      <c r="A88" s="225" t="s">
        <v>98</v>
      </c>
      <c r="B88" s="242">
        <f>'Va. Peajes transporte'!B91+'Vb. Peajes distribución'!B91</f>
        <v>563009.64983271912</v>
      </c>
      <c r="C88" s="242">
        <f>'Va. Peajes transporte'!C91+'Vb. Peajes distribución'!C91</f>
        <v>217428.05907040444</v>
      </c>
      <c r="D88" s="243">
        <f t="shared" ref="D88:D92" si="17">SUM(B88:C88)</f>
        <v>780437.70890312362</v>
      </c>
      <c r="E88" s="245">
        <f t="shared" ref="E88:E92" si="18">B88/D88</f>
        <v>0.72140241739985678</v>
      </c>
      <c r="I88" s="561">
        <f>B88/'I. Datos de entrada'!$I109</f>
        <v>16.697898304953451</v>
      </c>
      <c r="J88" s="556">
        <f>C88/'I. Datos de entrada'!$I109</f>
        <v>6.448542436314801</v>
      </c>
      <c r="K88" s="562">
        <f>D88/'I. Datos de entrada'!$I109</f>
        <v>23.146440741268254</v>
      </c>
    </row>
    <row r="89" spans="1:11" ht="18" customHeight="1" x14ac:dyDescent="0.35">
      <c r="A89" s="225" t="s">
        <v>99</v>
      </c>
      <c r="B89" s="242">
        <f>'Va. Peajes transporte'!B92+'Vb. Peajes distribución'!B92</f>
        <v>939330.38259388844</v>
      </c>
      <c r="C89" s="242">
        <f>'Va. Peajes transporte'!C92+'Vb. Peajes distribución'!C92</f>
        <v>355000.2912829158</v>
      </c>
      <c r="D89" s="243">
        <f t="shared" si="17"/>
        <v>1294330.6738768043</v>
      </c>
      <c r="E89" s="245">
        <f t="shared" si="18"/>
        <v>0.72572674166825379</v>
      </c>
      <c r="I89" s="561">
        <f>B89/'I. Datos de entrada'!$I110</f>
        <v>14.353563197219595</v>
      </c>
      <c r="J89" s="556">
        <f>C89/'I. Datos de entrada'!$I110</f>
        <v>5.4246293001721222</v>
      </c>
      <c r="K89" s="562">
        <f>D89/'I. Datos de entrada'!$I110</f>
        <v>19.778192497391718</v>
      </c>
    </row>
    <row r="90" spans="1:11" ht="18" customHeight="1" x14ac:dyDescent="0.35">
      <c r="A90" s="225" t="s">
        <v>100</v>
      </c>
      <c r="B90" s="242">
        <f>'Va. Peajes transporte'!B93+'Vb. Peajes distribución'!B93</f>
        <v>151452.1970629131</v>
      </c>
      <c r="C90" s="242">
        <f>'Va. Peajes transporte'!C93+'Vb. Peajes distribución'!C93</f>
        <v>59883.179318873918</v>
      </c>
      <c r="D90" s="243">
        <f t="shared" si="17"/>
        <v>211335.37638178701</v>
      </c>
      <c r="E90" s="245">
        <f t="shared" si="18"/>
        <v>0.71664384664736769</v>
      </c>
      <c r="I90" s="561">
        <f>B90/'I. Datos de entrada'!$I111</f>
        <v>6.7335017552147658</v>
      </c>
      <c r="J90" s="556">
        <f>C90/'I. Datos de entrada'!$I111</f>
        <v>2.6623812719202711</v>
      </c>
      <c r="K90" s="562">
        <f>D90/'I. Datos de entrada'!$I111</f>
        <v>9.3958830271350369</v>
      </c>
    </row>
    <row r="91" spans="1:11" ht="18" customHeight="1" x14ac:dyDescent="0.35">
      <c r="A91" s="225" t="s">
        <v>101</v>
      </c>
      <c r="B91" s="242">
        <f>'Va. Peajes transporte'!B94+'Vb. Peajes distribución'!B94</f>
        <v>51854.371153240107</v>
      </c>
      <c r="C91" s="242">
        <f>'Va. Peajes transporte'!C94+'Vb. Peajes distribución'!C94</f>
        <v>22101.660290429325</v>
      </c>
      <c r="D91" s="243">
        <f t="shared" si="17"/>
        <v>73956.031443669432</v>
      </c>
      <c r="E91" s="245">
        <f t="shared" si="18"/>
        <v>0.70115134818633906</v>
      </c>
      <c r="I91" s="561">
        <f>B91/'I. Datos de entrada'!$I112</f>
        <v>5.1766124325192697</v>
      </c>
      <c r="J91" s="556">
        <f>C91/'I. Datos de entrada'!$I112</f>
        <v>2.2064047233480895</v>
      </c>
      <c r="K91" s="562">
        <f>D91/'I. Datos de entrada'!$I112</f>
        <v>7.3830171558673587</v>
      </c>
    </row>
    <row r="92" spans="1:11" ht="18" customHeight="1" thickBot="1" x14ac:dyDescent="0.4">
      <c r="A92" s="228" t="s">
        <v>102</v>
      </c>
      <c r="B92" s="246">
        <f>'Va. Peajes transporte'!B95+'Vb. Peajes distribución'!B95</f>
        <v>70915.523013956845</v>
      </c>
      <c r="C92" s="246">
        <f>'Va. Peajes transporte'!C95+'Vb. Peajes distribución'!C95</f>
        <v>30414.02251388325</v>
      </c>
      <c r="D92" s="247">
        <f t="shared" si="17"/>
        <v>101329.54552784009</v>
      </c>
      <c r="E92" s="248">
        <f t="shared" si="18"/>
        <v>0.6998504004389613</v>
      </c>
      <c r="I92" s="563">
        <f>B92/'I. Datos de entrada'!$I113</f>
        <v>4.0305192990588017</v>
      </c>
      <c r="J92" s="557">
        <f>C92/'I. Datos de entrada'!$I113</f>
        <v>1.7285962155294206</v>
      </c>
      <c r="K92" s="564">
        <f>D92/'I. Datos de entrada'!$I113</f>
        <v>5.7591155145882222</v>
      </c>
    </row>
    <row r="93" spans="1:11" ht="7.5" customHeight="1" thickBot="1" x14ac:dyDescent="0.4">
      <c r="I93" s="40"/>
      <c r="J93" s="40"/>
      <c r="K93" s="40"/>
    </row>
    <row r="94" spans="1:11" s="1" customFormat="1" ht="18" customHeight="1" thickBot="1" x14ac:dyDescent="0.4">
      <c r="A94" s="53" t="s">
        <v>4</v>
      </c>
      <c r="B94" s="380">
        <f>SUM(B87:B92)</f>
        <v>4713446.213565886</v>
      </c>
      <c r="C94" s="380">
        <f>SUM(C87:C92)</f>
        <v>1663788.5757795626</v>
      </c>
      <c r="D94" s="381">
        <f>SUM(B94:C94)</f>
        <v>6377234.7893454488</v>
      </c>
      <c r="E94" s="382">
        <f>B94/D94</f>
        <v>0.73910501483193281</v>
      </c>
      <c r="I94" s="587">
        <f>B94/'I. Datos de entrada'!$I115</f>
        <v>21.587643650573966</v>
      </c>
      <c r="J94" s="558">
        <f>C94/'I. Datos de entrada'!$I115</f>
        <v>7.6201728536650695</v>
      </c>
      <c r="K94" s="588">
        <f>D94/'I. Datos de entrada'!$I115</f>
        <v>29.207816504239037</v>
      </c>
    </row>
    <row r="95" spans="1:11" s="1" customFormat="1" ht="18" customHeight="1" x14ac:dyDescent="0.35">
      <c r="A95" s="270"/>
      <c r="B95" s="271"/>
      <c r="C95" s="271"/>
      <c r="D95" s="272">
        <f>D94-SUM('I. Datos de entrada'!$C$14,'I. Datos de entrada'!$C$32)</f>
        <v>0</v>
      </c>
      <c r="E95" s="273"/>
    </row>
    <row r="96" spans="1:11" s="391" customFormat="1" ht="16.5" customHeight="1" x14ac:dyDescent="0.35">
      <c r="A96" s="391" t="s">
        <v>134</v>
      </c>
    </row>
    <row r="97" spans="1:11" ht="4.5" customHeight="1" thickBot="1" x14ac:dyDescent="0.45">
      <c r="A97" s="55"/>
    </row>
    <row r="98" spans="1:11" ht="22.5" customHeight="1" x14ac:dyDescent="0.35">
      <c r="A98" s="638" t="s">
        <v>96</v>
      </c>
      <c r="B98" s="162" t="s">
        <v>128</v>
      </c>
      <c r="C98" s="162"/>
      <c r="D98" s="162"/>
      <c r="E98" s="640" t="s">
        <v>130</v>
      </c>
      <c r="I98" s="180" t="s">
        <v>227</v>
      </c>
      <c r="J98" s="162"/>
      <c r="K98" s="163"/>
    </row>
    <row r="99" spans="1:11" ht="18.75" customHeight="1" x14ac:dyDescent="0.35">
      <c r="A99" s="639"/>
      <c r="B99" s="239" t="s">
        <v>2</v>
      </c>
      <c r="C99" s="239" t="s">
        <v>129</v>
      </c>
      <c r="D99" s="239" t="s">
        <v>4</v>
      </c>
      <c r="E99" s="641"/>
      <c r="I99" s="540" t="s">
        <v>2</v>
      </c>
      <c r="J99" s="239" t="s">
        <v>129</v>
      </c>
      <c r="K99" s="307" t="s">
        <v>4</v>
      </c>
    </row>
    <row r="100" spans="1:11" ht="18" customHeight="1" x14ac:dyDescent="0.35">
      <c r="A100" s="222" t="s">
        <v>97</v>
      </c>
      <c r="B100" s="240">
        <f>'VI. Diseño del Peaje 2.0 TD'!D76</f>
        <v>533228.04110429343</v>
      </c>
      <c r="C100" s="240">
        <f>'VI. Diseño del Peaje 2.0 TD'!D77</f>
        <v>3382617.4121079305</v>
      </c>
      <c r="D100" s="241">
        <f>SUM(B100:C100)</f>
        <v>3915845.4532122239</v>
      </c>
      <c r="E100" s="244">
        <f t="shared" ref="E100:E105" si="19">B100/D100</f>
        <v>0.13617188100896035</v>
      </c>
      <c r="F100" s="238"/>
      <c r="G100" s="40"/>
      <c r="I100" s="559">
        <f>B100/'I. Datos de entrada'!$I108</f>
        <v>7.7194095291146567</v>
      </c>
      <c r="J100" s="555">
        <f>C100/'I. Datos de entrada'!$I108</f>
        <v>48.969309697777021</v>
      </c>
      <c r="K100" s="560">
        <f>D100/'I. Datos de entrada'!$I108</f>
        <v>56.688719226891678</v>
      </c>
    </row>
    <row r="101" spans="1:11" ht="18" customHeight="1" x14ac:dyDescent="0.35">
      <c r="A101" s="225" t="s">
        <v>98</v>
      </c>
      <c r="B101" s="242">
        <f>'Va. Peajes transporte'!D91</f>
        <v>120913.5338351549</v>
      </c>
      <c r="C101" s="242">
        <f>'Vb. Peajes distribución'!D91</f>
        <v>659524.17506796867</v>
      </c>
      <c r="D101" s="243">
        <f t="shared" ref="D101:D105" si="20">SUM(B101:C101)</f>
        <v>780437.70890312362</v>
      </c>
      <c r="E101" s="245">
        <f t="shared" si="19"/>
        <v>0.15493040950711418</v>
      </c>
      <c r="F101" s="238"/>
      <c r="G101" s="40"/>
      <c r="I101" s="561">
        <f>B101/'I. Datos de entrada'!$I109</f>
        <v>3.5860875426768417</v>
      </c>
      <c r="J101" s="556">
        <f>C101/'I. Datos de entrada'!$I109</f>
        <v>19.560353198591411</v>
      </c>
      <c r="K101" s="562">
        <f>D101/'I. Datos de entrada'!$I109</f>
        <v>23.146440741268254</v>
      </c>
    </row>
    <row r="102" spans="1:11" ht="18" customHeight="1" x14ac:dyDescent="0.35">
      <c r="A102" s="225" t="s">
        <v>99</v>
      </c>
      <c r="B102" s="242">
        <f>'Va. Peajes transporte'!D92</f>
        <v>311933.6967594577</v>
      </c>
      <c r="C102" s="242">
        <f>'Vb. Peajes distribución'!D92</f>
        <v>982396.97711734648</v>
      </c>
      <c r="D102" s="243">
        <f t="shared" si="20"/>
        <v>1294330.6738768043</v>
      </c>
      <c r="E102" s="245">
        <f t="shared" ref="E102:E104" si="21">B102/D102</f>
        <v>0.24100000336478763</v>
      </c>
      <c r="F102" s="238"/>
      <c r="G102" s="40"/>
      <c r="I102" s="561">
        <f>B102/'I. Datos de entrada'!$I110</f>
        <v>4.7665444584208219</v>
      </c>
      <c r="J102" s="556">
        <f>C102/'I. Datos de entrada'!$I110</f>
        <v>15.011648038970893</v>
      </c>
      <c r="K102" s="562">
        <f>D102/'I. Datos de entrada'!$I110</f>
        <v>19.778192497391718</v>
      </c>
    </row>
    <row r="103" spans="1:11" ht="18" customHeight="1" x14ac:dyDescent="0.35">
      <c r="A103" s="225" t="s">
        <v>100</v>
      </c>
      <c r="B103" s="242">
        <f>'Va. Peajes transporte'!D93</f>
        <v>78241.400806417019</v>
      </c>
      <c r="C103" s="242">
        <f>'Vb. Peajes distribución'!D93</f>
        <v>133093.97557537002</v>
      </c>
      <c r="D103" s="243">
        <f t="shared" si="20"/>
        <v>211335.37638178703</v>
      </c>
      <c r="E103" s="245">
        <f t="shared" si="21"/>
        <v>0.37022386950053426</v>
      </c>
      <c r="F103" s="238"/>
      <c r="G103" s="40"/>
      <c r="I103" s="561">
        <f>B103/'I. Datos de entrada'!$I111</f>
        <v>3.4785801716803273</v>
      </c>
      <c r="J103" s="556">
        <f>C103/'I. Datos de entrada'!$I111</f>
        <v>5.9173028554547109</v>
      </c>
      <c r="K103" s="562">
        <f>D103/'I. Datos de entrada'!$I111</f>
        <v>9.3958830271350386</v>
      </c>
    </row>
    <row r="104" spans="1:11" ht="18" customHeight="1" x14ac:dyDescent="0.35">
      <c r="A104" s="225" t="s">
        <v>101</v>
      </c>
      <c r="B104" s="242">
        <f>'Va. Peajes transporte'!D94</f>
        <v>37502.136500682042</v>
      </c>
      <c r="C104" s="242">
        <f>'Vb. Peajes distribución'!D94</f>
        <v>36453.894942987397</v>
      </c>
      <c r="D104" s="243">
        <f t="shared" si="20"/>
        <v>73956.031443669432</v>
      </c>
      <c r="E104" s="245">
        <f t="shared" si="21"/>
        <v>0.50708692406307032</v>
      </c>
      <c r="F104" s="238"/>
      <c r="G104" s="40"/>
      <c r="I104" s="561">
        <f>B104/'I. Datos de entrada'!$I112</f>
        <v>3.7438314598736566</v>
      </c>
      <c r="J104" s="556">
        <f>C104/'I. Datos de entrada'!$I112</f>
        <v>3.639185695993703</v>
      </c>
      <c r="K104" s="562">
        <f>D104/'I. Datos de entrada'!$I112</f>
        <v>7.3830171558673587</v>
      </c>
    </row>
    <row r="105" spans="1:11" ht="18" customHeight="1" thickBot="1" x14ac:dyDescent="0.4">
      <c r="A105" s="228" t="s">
        <v>102</v>
      </c>
      <c r="B105" s="246">
        <f>'Va. Peajes transporte'!D95</f>
        <v>101329.54552784009</v>
      </c>
      <c r="C105" s="246">
        <f>'Vb. Peajes distribución'!D95</f>
        <v>0</v>
      </c>
      <c r="D105" s="247">
        <f t="shared" si="20"/>
        <v>101329.54552784009</v>
      </c>
      <c r="E105" s="248">
        <f t="shared" si="19"/>
        <v>1</v>
      </c>
      <c r="F105" s="238"/>
      <c r="G105" s="40"/>
      <c r="I105" s="563">
        <f>B105/'I. Datos de entrada'!$I113</f>
        <v>5.7591155145882222</v>
      </c>
      <c r="J105" s="557">
        <f>C105/'I. Datos de entrada'!$I113</f>
        <v>0</v>
      </c>
      <c r="K105" s="564">
        <f>D105/'I. Datos de entrada'!$I113</f>
        <v>5.7591155145882222</v>
      </c>
    </row>
    <row r="106" spans="1:11" ht="7.5" customHeight="1" thickBot="1" x14ac:dyDescent="0.4">
      <c r="I106" s="40"/>
      <c r="J106" s="40"/>
      <c r="K106" s="40"/>
    </row>
    <row r="107" spans="1:11" s="1" customFormat="1" ht="18" customHeight="1" thickBot="1" x14ac:dyDescent="0.4">
      <c r="A107" s="53" t="s">
        <v>4</v>
      </c>
      <c r="B107" s="380">
        <f>SUM(B100:B105)</f>
        <v>1183148.3545338451</v>
      </c>
      <c r="C107" s="380">
        <f>SUM(C100:C105)</f>
        <v>5194086.4348116033</v>
      </c>
      <c r="D107" s="381">
        <f>SUM(B107:C107)</f>
        <v>6377234.7893454488</v>
      </c>
      <c r="E107" s="382">
        <f>B107/D107</f>
        <v>0.18552686134601012</v>
      </c>
      <c r="G107" s="40"/>
      <c r="I107" s="587">
        <f>B107/'I. Datos de entrada'!$I115</f>
        <v>5.418834522801661</v>
      </c>
      <c r="J107" s="558">
        <f>C107/'I. Datos de entrada'!$I115</f>
        <v>23.788981981437374</v>
      </c>
      <c r="K107" s="588">
        <f>D107/'I. Datos de entrada'!$I115</f>
        <v>29.207816504239037</v>
      </c>
    </row>
    <row r="108" spans="1:11" x14ac:dyDescent="0.35">
      <c r="B108" s="287"/>
      <c r="C108" s="287"/>
      <c r="D108" s="238"/>
      <c r="E108" s="295"/>
    </row>
    <row r="109" spans="1:11" x14ac:dyDescent="0.35">
      <c r="B109" s="238"/>
      <c r="C109" s="238"/>
      <c r="D109" s="238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headerFooter>
    <oddFooter>&amp;C_x000D_&amp;1#&amp;"Calibri"&amp;10&amp;K000000 INTERNA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1"/>
  <sheetViews>
    <sheetView showGridLines="0" workbookViewId="0">
      <selection activeCell="K8" sqref="K8"/>
    </sheetView>
  </sheetViews>
  <sheetFormatPr baseColWidth="10" defaultRowHeight="12.75" x14ac:dyDescent="0.35"/>
  <cols>
    <col min="2" max="5" width="12.86328125" bestFit="1" customWidth="1"/>
    <col min="6" max="6" width="11.86328125" bestFit="1" customWidth="1"/>
    <col min="7" max="7" width="12.86328125" bestFit="1" customWidth="1"/>
    <col min="9" max="13" width="13.3984375" bestFit="1" customWidth="1"/>
  </cols>
  <sheetData>
    <row r="1" spans="1:7" s="1" customFormat="1" x14ac:dyDescent="0.35"/>
    <row r="2" spans="1:7" s="1" customFormat="1" x14ac:dyDescent="0.35"/>
    <row r="3" spans="1:7" s="1" customFormat="1" x14ac:dyDescent="0.35"/>
    <row r="4" spans="1:7" s="1" customFormat="1" x14ac:dyDescent="0.35"/>
    <row r="5" spans="1:7" s="1" customFormat="1" x14ac:dyDescent="0.35"/>
    <row r="6" spans="1:7" s="369" customFormat="1" ht="44.25" customHeight="1" x14ac:dyDescent="0.35">
      <c r="A6" s="650" t="s">
        <v>204</v>
      </c>
      <c r="B6" s="650"/>
      <c r="C6" s="650"/>
      <c r="D6" s="650"/>
      <c r="E6" s="650"/>
      <c r="F6" s="650"/>
      <c r="G6" s="650"/>
    </row>
    <row r="7" spans="1:7" ht="10.5" customHeight="1" thickBot="1" x14ac:dyDescent="0.4"/>
    <row r="8" spans="1:7" ht="25.5" customHeight="1" thickBot="1" x14ac:dyDescent="0.4">
      <c r="B8" s="589" t="s">
        <v>95</v>
      </c>
      <c r="C8" s="590"/>
      <c r="D8" s="590"/>
      <c r="E8" s="590"/>
      <c r="F8" s="590"/>
      <c r="G8" s="591"/>
    </row>
    <row r="9" spans="1:7" ht="13.15" thickBot="1" x14ac:dyDescent="0.4"/>
    <row r="10" spans="1:7" ht="30" customHeight="1" x14ac:dyDescent="0.35">
      <c r="A10" s="648" t="s">
        <v>52</v>
      </c>
      <c r="B10" s="586" t="s">
        <v>135</v>
      </c>
      <c r="C10" s="586"/>
      <c r="D10" s="586"/>
      <c r="E10" s="586"/>
      <c r="F10" s="586"/>
      <c r="G10" s="592"/>
    </row>
    <row r="11" spans="1:7" ht="30" customHeight="1" x14ac:dyDescent="0.35">
      <c r="A11" s="649"/>
      <c r="B11" s="593" t="s">
        <v>15</v>
      </c>
      <c r="C11" s="593" t="s">
        <v>16</v>
      </c>
      <c r="D11" s="593" t="s">
        <v>17</v>
      </c>
      <c r="E11" s="593" t="s">
        <v>18</v>
      </c>
      <c r="F11" s="593" t="s">
        <v>19</v>
      </c>
      <c r="G11" s="594" t="s">
        <v>20</v>
      </c>
    </row>
    <row r="12" spans="1:7" ht="15" customHeight="1" x14ac:dyDescent="0.35">
      <c r="A12" s="168" t="s">
        <v>10</v>
      </c>
      <c r="B12" s="278">
        <f>'IV. Metodología de asignación'!J85</f>
        <v>0</v>
      </c>
      <c r="C12" s="169">
        <f>'IV. Metodología de asignación'!K85</f>
        <v>0</v>
      </c>
      <c r="D12" s="169">
        <f>'IV. Metodología de asignación'!L85</f>
        <v>0</v>
      </c>
      <c r="E12" s="169">
        <f>'IV. Metodología de asignación'!M85</f>
        <v>0</v>
      </c>
      <c r="F12" s="169">
        <f>'IV. Metodología de asignación'!N85</f>
        <v>0</v>
      </c>
      <c r="G12" s="170">
        <f>'IV. Metodología de asignación'!O85</f>
        <v>0</v>
      </c>
    </row>
    <row r="13" spans="1:7" ht="15" customHeight="1" x14ac:dyDescent="0.35">
      <c r="A13" s="171" t="s">
        <v>11</v>
      </c>
      <c r="B13" s="279">
        <f>'IV. Metodología de asignación'!J86</f>
        <v>77187.516494651674</v>
      </c>
      <c r="C13" s="172">
        <f>'IV. Metodología de asignación'!K86</f>
        <v>50786.328126622815</v>
      </c>
      <c r="D13" s="172">
        <f>'IV. Metodología de asignación'!L86</f>
        <v>32386.038300009342</v>
      </c>
      <c r="E13" s="172">
        <f>'IV. Metodología de asignación'!M86</f>
        <v>25658.279555094796</v>
      </c>
      <c r="F13" s="172">
        <f>'IV. Metodología de asignación'!N86</f>
        <v>695.61293582806013</v>
      </c>
      <c r="G13" s="173">
        <f>'IV. Metodología de asignación'!O86</f>
        <v>3395.9303786686792</v>
      </c>
    </row>
    <row r="14" spans="1:7" ht="15" customHeight="1" x14ac:dyDescent="0.35">
      <c r="A14" s="171" t="s">
        <v>12</v>
      </c>
      <c r="B14" s="279">
        <f>'IV. Metodología de asignación'!J88</f>
        <v>12085.300458121454</v>
      </c>
      <c r="C14" s="172">
        <f>'IV. Metodología de asignación'!K88</f>
        <v>9200.213769587599</v>
      </c>
      <c r="D14" s="172">
        <f>'IV. Metodología de asignación'!L88</f>
        <v>4536.5919313400836</v>
      </c>
      <c r="E14" s="172">
        <f>'IV. Metodología de asignación'!M88</f>
        <v>3946.4233152044035</v>
      </c>
      <c r="F14" s="172">
        <f>'IV. Metodología de asignación'!N88</f>
        <v>174.45842121763735</v>
      </c>
      <c r="G14" s="173">
        <f>'IV. Metodología de asignación'!O88</f>
        <v>291.06820023921199</v>
      </c>
    </row>
    <row r="15" spans="1:7" ht="15" customHeight="1" x14ac:dyDescent="0.35">
      <c r="A15" s="171" t="s">
        <v>13</v>
      </c>
      <c r="B15" s="279">
        <f>'IV. Metodología de asignación'!J91</f>
        <v>4142.3586920779771</v>
      </c>
      <c r="C15" s="172">
        <f>'IV. Metodología de asignación'!K91</f>
        <v>2912.7178287558877</v>
      </c>
      <c r="D15" s="172">
        <f>'IV. Metodología de asignación'!L91</f>
        <v>1813.1982250074138</v>
      </c>
      <c r="E15" s="172">
        <f>'IV. Metodología de asignación'!M91</f>
        <v>1610.3831196806254</v>
      </c>
      <c r="F15" s="172">
        <f>'IV. Metodología de asignación'!N91</f>
        <v>76.915507262294128</v>
      </c>
      <c r="G15" s="173">
        <f>'IV. Metodología de asignación'!O91</f>
        <v>479.24466237977771</v>
      </c>
    </row>
    <row r="16" spans="1:7" ht="15" customHeight="1" thickBot="1" x14ac:dyDescent="0.4">
      <c r="A16" s="174" t="s">
        <v>14</v>
      </c>
      <c r="B16" s="280">
        <f>'IV. Metodología de asignación'!J95</f>
        <v>11331.922567731333</v>
      </c>
      <c r="C16" s="274">
        <f>'IV. Metodología de asignación'!K95</f>
        <v>8395.8846514938923</v>
      </c>
      <c r="D16" s="274">
        <f>'IV. Metodología de asignación'!L95</f>
        <v>5192.8585733472501</v>
      </c>
      <c r="E16" s="274">
        <f>'IV. Metodología de asignación'!M95</f>
        <v>4482.491464863655</v>
      </c>
      <c r="F16" s="274">
        <f>'IV. Metodología de asignación'!N95</f>
        <v>130.47100042648276</v>
      </c>
      <c r="G16" s="275">
        <f>'IV. Metodología de asignación'!O95</f>
        <v>880.39425602063125</v>
      </c>
    </row>
    <row r="17" spans="1:16" ht="13.15" thickBot="1" x14ac:dyDescent="0.4">
      <c r="G17" s="217"/>
    </row>
    <row r="18" spans="1:16" ht="24" customHeight="1" x14ac:dyDescent="0.35">
      <c r="A18" s="648" t="s">
        <v>52</v>
      </c>
      <c r="B18" s="586" t="s">
        <v>111</v>
      </c>
      <c r="C18" s="586"/>
      <c r="D18" s="586"/>
      <c r="E18" s="586"/>
      <c r="F18" s="586"/>
      <c r="G18" s="592"/>
    </row>
    <row r="19" spans="1:16" ht="24" customHeight="1" x14ac:dyDescent="0.35">
      <c r="A19" s="649"/>
      <c r="B19" s="593" t="s">
        <v>15</v>
      </c>
      <c r="C19" s="593" t="s">
        <v>16</v>
      </c>
      <c r="D19" s="593" t="s">
        <v>17</v>
      </c>
      <c r="E19" s="593" t="s">
        <v>18</v>
      </c>
      <c r="F19" s="593" t="s">
        <v>19</v>
      </c>
      <c r="G19" s="594" t="s">
        <v>20</v>
      </c>
    </row>
    <row r="20" spans="1:16" ht="15" customHeight="1" x14ac:dyDescent="0.35">
      <c r="A20" s="168" t="s">
        <v>10</v>
      </c>
      <c r="B20" s="278">
        <f>('I. Datos de entrada'!C108+'I. Datos de entrada'!C109)*1000</f>
        <v>11448488.573650554</v>
      </c>
      <c r="C20" s="169">
        <f>('I. Datos de entrada'!D108+'I. Datos de entrada'!D109)*1000</f>
        <v>13829412.183202418</v>
      </c>
      <c r="D20" s="169">
        <f>('I. Datos de entrada'!E108+'I. Datos de entrada'!E109)*1000</f>
        <v>12050403.533066513</v>
      </c>
      <c r="E20" s="169">
        <f>('I. Datos de entrada'!F108+'I. Datos de entrada'!F109)*1000</f>
        <v>13306496.242078582</v>
      </c>
      <c r="F20" s="169">
        <f>('I. Datos de entrada'!G108+'I. Datos de entrada'!G109)*1000</f>
        <v>5214201.2603889992</v>
      </c>
      <c r="G20" s="170">
        <f>('I. Datos de entrada'!H108+'I. Datos de entrada'!H109)*1000</f>
        <v>46944667.365508243</v>
      </c>
    </row>
    <row r="21" spans="1:16" ht="15" customHeight="1" x14ac:dyDescent="0.35">
      <c r="A21" s="171" t="s">
        <v>11</v>
      </c>
      <c r="B21" s="279">
        <f>'I. Datos de entrada'!C110*1000</f>
        <v>6613257.2334814873</v>
      </c>
      <c r="C21" s="172">
        <f>'I. Datos de entrada'!D110*1000</f>
        <v>8195987.2293909481</v>
      </c>
      <c r="D21" s="172">
        <f>'I. Datos de entrada'!E110*1000</f>
        <v>7969153.5737819076</v>
      </c>
      <c r="E21" s="172">
        <f>'I. Datos de entrada'!F110*1000</f>
        <v>8876098.3935512789</v>
      </c>
      <c r="F21" s="172">
        <f>'I. Datos de entrada'!G110*1000</f>
        <v>3570049.69105493</v>
      </c>
      <c r="G21" s="173">
        <f>'I. Datos de entrada'!H110*1000</f>
        <v>30217767.378696341</v>
      </c>
      <c r="K21" s="292"/>
    </row>
    <row r="22" spans="1:16" ht="15" customHeight="1" x14ac:dyDescent="0.35">
      <c r="A22" s="171" t="s">
        <v>12</v>
      </c>
      <c r="B22" s="279">
        <f>'I. Datos de entrada'!C111*1000</f>
        <v>2009695.6649737705</v>
      </c>
      <c r="C22" s="172">
        <f>'I. Datos de entrada'!D111*1000</f>
        <v>2647057.9468418448</v>
      </c>
      <c r="D22" s="172">
        <f>'I. Datos de entrada'!E111*1000</f>
        <v>2542912.3577724099</v>
      </c>
      <c r="E22" s="172">
        <f>'I. Datos de entrada'!F111*1000</f>
        <v>2901893.6324406355</v>
      </c>
      <c r="F22" s="172">
        <f>'I. Datos de entrada'!G111*1000</f>
        <v>1229435.5264529428</v>
      </c>
      <c r="G22" s="173">
        <f>'I. Datos de entrada'!H111*1000</f>
        <v>11161342.821177477</v>
      </c>
      <c r="K22" s="294"/>
    </row>
    <row r="23" spans="1:16" ht="15" customHeight="1" x14ac:dyDescent="0.35">
      <c r="A23" s="171" t="s">
        <v>13</v>
      </c>
      <c r="B23" s="279">
        <f>'I. Datos de entrada'!C112*1000</f>
        <v>809194.51358948683</v>
      </c>
      <c r="C23" s="172">
        <f>'I. Datos de entrada'!D112*1000</f>
        <v>1043033.634400384</v>
      </c>
      <c r="D23" s="172">
        <f>'I. Datos de entrada'!E112*1000</f>
        <v>1028037.6135128499</v>
      </c>
      <c r="E23" s="172">
        <f>'I. Datos de entrada'!F112*1000</f>
        <v>1205248.0689663922</v>
      </c>
      <c r="F23" s="172">
        <f>'I. Datos de entrada'!G112*1000</f>
        <v>507001.33921675984</v>
      </c>
      <c r="G23" s="173">
        <f>'I. Datos de entrada'!H112*1000</f>
        <v>5424532.045881792</v>
      </c>
    </row>
    <row r="24" spans="1:16" ht="15" customHeight="1" thickBot="1" x14ac:dyDescent="0.4">
      <c r="A24" s="174" t="s">
        <v>14</v>
      </c>
      <c r="B24" s="280">
        <f>'I. Datos de entrada'!C113*1000</f>
        <v>1294097.9776885763</v>
      </c>
      <c r="C24" s="274">
        <f>'I. Datos de entrada'!D113*1000</f>
        <v>1747068.3435061295</v>
      </c>
      <c r="D24" s="274">
        <f>'I. Datos de entrada'!E113*1000</f>
        <v>1692963.9477057019</v>
      </c>
      <c r="E24" s="274">
        <f>'I. Datos de entrada'!F113*1000</f>
        <v>2031556.3070773927</v>
      </c>
      <c r="F24" s="274">
        <f>'I. Datos de entrada'!G113*1000</f>
        <v>938612.60987478367</v>
      </c>
      <c r="G24" s="275">
        <f>'I. Datos de entrada'!H113*1000</f>
        <v>9890337.5723728091</v>
      </c>
    </row>
    <row r="25" spans="1:16" ht="15" customHeight="1" thickBot="1" x14ac:dyDescent="0.4">
      <c r="A25" s="496"/>
      <c r="B25" s="495"/>
      <c r="C25" s="495"/>
      <c r="D25" s="495"/>
      <c r="E25" s="495"/>
      <c r="F25" s="495"/>
      <c r="G25" s="497"/>
    </row>
    <row r="26" spans="1:16" ht="30" customHeight="1" x14ac:dyDescent="0.35">
      <c r="A26" s="648" t="s">
        <v>52</v>
      </c>
      <c r="B26" s="586" t="s">
        <v>136</v>
      </c>
      <c r="C26" s="586"/>
      <c r="D26" s="586"/>
      <c r="E26" s="586"/>
      <c r="F26" s="586"/>
      <c r="G26" s="592"/>
    </row>
    <row r="27" spans="1:16" ht="30" customHeight="1" x14ac:dyDescent="0.35">
      <c r="A27" s="649"/>
      <c r="B27" s="593" t="s">
        <v>15</v>
      </c>
      <c r="C27" s="593" t="s">
        <v>16</v>
      </c>
      <c r="D27" s="593" t="s">
        <v>17</v>
      </c>
      <c r="E27" s="593" t="s">
        <v>18</v>
      </c>
      <c r="F27" s="593" t="s">
        <v>19</v>
      </c>
      <c r="G27" s="594" t="s">
        <v>20</v>
      </c>
    </row>
    <row r="28" spans="1:16" ht="15" customHeight="1" x14ac:dyDescent="0.35">
      <c r="A28" s="168" t="s">
        <v>10</v>
      </c>
      <c r="B28" s="281">
        <f>B12/B20</f>
        <v>0</v>
      </c>
      <c r="C28" s="209">
        <f t="shared" ref="C28:G28" si="0">C12/C20</f>
        <v>0</v>
      </c>
      <c r="D28" s="209">
        <f t="shared" si="0"/>
        <v>0</v>
      </c>
      <c r="E28" s="209">
        <f t="shared" si="0"/>
        <v>0</v>
      </c>
      <c r="F28" s="209">
        <f t="shared" si="0"/>
        <v>0</v>
      </c>
      <c r="G28" s="210">
        <f t="shared" si="0"/>
        <v>0</v>
      </c>
      <c r="I28" s="372"/>
      <c r="J28" s="372"/>
      <c r="K28" s="372"/>
      <c r="L28" s="372"/>
      <c r="M28" s="372"/>
      <c r="N28" s="372"/>
      <c r="O28" s="372"/>
      <c r="P28" s="372"/>
    </row>
    <row r="29" spans="1:16" ht="15" customHeight="1" x14ac:dyDescent="0.35">
      <c r="A29" s="171" t="s">
        <v>11</v>
      </c>
      <c r="B29" s="282">
        <f t="shared" ref="B29:F29" si="1">B13/B21</f>
        <v>1.1671633775844681E-2</v>
      </c>
      <c r="C29" s="282">
        <f t="shared" si="1"/>
        <v>6.1964869765172631E-3</v>
      </c>
      <c r="D29" s="282">
        <f t="shared" si="1"/>
        <v>4.0639244808329065E-3</v>
      </c>
      <c r="E29" s="282">
        <f t="shared" si="1"/>
        <v>2.8907159900048219E-3</v>
      </c>
      <c r="F29" s="499">
        <f t="shared" si="1"/>
        <v>1.9484684977102108E-4</v>
      </c>
      <c r="G29" s="500">
        <f>G13/G21</f>
        <v>1.1238190883231251E-4</v>
      </c>
      <c r="I29" s="372"/>
      <c r="J29" s="372"/>
      <c r="K29" s="372"/>
      <c r="L29" s="372"/>
      <c r="M29" s="372"/>
      <c r="N29" s="372"/>
      <c r="O29" s="372"/>
      <c r="P29" s="372"/>
    </row>
    <row r="30" spans="1:16" ht="15" customHeight="1" x14ac:dyDescent="0.35">
      <c r="A30" s="171" t="s">
        <v>12</v>
      </c>
      <c r="B30" s="282">
        <f t="shared" ref="B30:G30" si="2">B14/B22</f>
        <v>6.0134977990705793E-3</v>
      </c>
      <c r="C30" s="282">
        <f t="shared" si="2"/>
        <v>3.475637464062395E-3</v>
      </c>
      <c r="D30" s="282">
        <f t="shared" si="2"/>
        <v>1.7840142691013291E-3</v>
      </c>
      <c r="E30" s="282">
        <f t="shared" si="2"/>
        <v>1.3599476118238238E-3</v>
      </c>
      <c r="F30" s="499">
        <f t="shared" si="2"/>
        <v>1.4190123635109941E-4</v>
      </c>
      <c r="G30" s="500">
        <f t="shared" si="2"/>
        <v>2.6078242098875469E-5</v>
      </c>
      <c r="I30" s="372"/>
      <c r="J30" s="372"/>
      <c r="K30" s="372"/>
      <c r="L30" s="372"/>
      <c r="M30" s="372"/>
      <c r="N30" s="372"/>
      <c r="O30" s="372"/>
      <c r="P30" s="372"/>
    </row>
    <row r="31" spans="1:16" ht="15" customHeight="1" x14ac:dyDescent="0.35">
      <c r="A31" s="171" t="s">
        <v>13</v>
      </c>
      <c r="B31" s="282">
        <f t="shared" ref="B31:G31" si="3">B15/B23</f>
        <v>5.1191136648999092E-3</v>
      </c>
      <c r="C31" s="282">
        <f t="shared" si="3"/>
        <v>2.792544490121205E-3</v>
      </c>
      <c r="D31" s="282">
        <f t="shared" si="3"/>
        <v>1.7637469691518732E-3</v>
      </c>
      <c r="E31" s="282">
        <f t="shared" si="3"/>
        <v>1.336142459918374E-3</v>
      </c>
      <c r="F31" s="499">
        <f t="shared" si="3"/>
        <v>1.517067141895856E-4</v>
      </c>
      <c r="G31" s="500">
        <f t="shared" si="3"/>
        <v>8.8347650696176031E-5</v>
      </c>
      <c r="I31" s="372"/>
      <c r="J31" s="372"/>
      <c r="K31" s="372"/>
      <c r="L31" s="372"/>
      <c r="M31" s="372"/>
      <c r="N31" s="372"/>
      <c r="O31" s="372"/>
      <c r="P31" s="372"/>
    </row>
    <row r="32" spans="1:16" ht="15" customHeight="1" thickBot="1" x14ac:dyDescent="0.4">
      <c r="A32" s="174" t="s">
        <v>14</v>
      </c>
      <c r="B32" s="215">
        <f t="shared" ref="B32:G32" si="4">B16/B24</f>
        <v>8.7566187128826131E-3</v>
      </c>
      <c r="C32" s="498">
        <f t="shared" si="4"/>
        <v>4.8056990344433172E-3</v>
      </c>
      <c r="D32" s="498">
        <f t="shared" si="4"/>
        <v>3.067317871939678E-3</v>
      </c>
      <c r="E32" s="498">
        <f t="shared" si="4"/>
        <v>2.2064323047546685E-3</v>
      </c>
      <c r="F32" s="276">
        <f t="shared" si="4"/>
        <v>1.3900409929916492E-4</v>
      </c>
      <c r="G32" s="277">
        <f t="shared" si="4"/>
        <v>8.9015592195748914E-5</v>
      </c>
      <c r="I32" s="372"/>
      <c r="J32" s="372"/>
      <c r="K32" s="372"/>
      <c r="L32" s="372"/>
      <c r="M32" s="372"/>
      <c r="N32" s="372"/>
      <c r="O32" s="372"/>
      <c r="P32" s="372"/>
    </row>
    <row r="33" spans="1:16" x14ac:dyDescent="0.35">
      <c r="A33" s="166"/>
      <c r="B33" s="167"/>
      <c r="C33" s="167"/>
      <c r="D33" s="167"/>
      <c r="E33" s="167"/>
      <c r="F33" s="167"/>
      <c r="G33" s="167"/>
    </row>
    <row r="34" spans="1:16" ht="33" customHeight="1" thickBot="1" x14ac:dyDescent="0.45">
      <c r="A34" s="651" t="s">
        <v>220</v>
      </c>
      <c r="B34" s="651"/>
      <c r="C34" s="651"/>
      <c r="D34" s="651"/>
      <c r="E34" s="651"/>
      <c r="F34" s="651"/>
      <c r="G34" s="651"/>
    </row>
    <row r="35" spans="1:16" ht="30" customHeight="1" x14ac:dyDescent="0.35">
      <c r="A35" s="648" t="s">
        <v>52</v>
      </c>
      <c r="B35" s="586" t="s">
        <v>221</v>
      </c>
      <c r="C35" s="586"/>
      <c r="D35" s="586"/>
      <c r="E35" s="586"/>
      <c r="F35" s="586"/>
      <c r="G35" s="592"/>
    </row>
    <row r="36" spans="1:16" ht="30" customHeight="1" x14ac:dyDescent="0.35">
      <c r="A36" s="649"/>
      <c r="B36" s="593" t="s">
        <v>15</v>
      </c>
      <c r="C36" s="593" t="s">
        <v>16</v>
      </c>
      <c r="D36" s="593" t="s">
        <v>17</v>
      </c>
      <c r="E36" s="593" t="s">
        <v>18</v>
      </c>
      <c r="F36" s="593" t="s">
        <v>19</v>
      </c>
      <c r="G36" s="594" t="s">
        <v>20</v>
      </c>
    </row>
    <row r="37" spans="1:16" ht="15" customHeight="1" x14ac:dyDescent="0.35">
      <c r="A37" s="168" t="s">
        <v>10</v>
      </c>
      <c r="B37" s="281">
        <f t="shared" ref="B37:G37" si="5">B12/B20</f>
        <v>0</v>
      </c>
      <c r="C37" s="209">
        <f t="shared" si="5"/>
        <v>0</v>
      </c>
      <c r="D37" s="209">
        <f t="shared" si="5"/>
        <v>0</v>
      </c>
      <c r="E37" s="209">
        <f t="shared" si="5"/>
        <v>0</v>
      </c>
      <c r="F37" s="209">
        <f t="shared" si="5"/>
        <v>0</v>
      </c>
      <c r="G37" s="210">
        <f t="shared" si="5"/>
        <v>0</v>
      </c>
      <c r="I37" s="372"/>
      <c r="J37" s="372"/>
      <c r="K37" s="372"/>
      <c r="L37" s="372"/>
      <c r="M37" s="372"/>
      <c r="N37" s="372"/>
      <c r="O37" s="372"/>
      <c r="P37" s="372"/>
    </row>
    <row r="38" spans="1:16" ht="15" customHeight="1" x14ac:dyDescent="0.35">
      <c r="A38" s="171" t="s">
        <v>11</v>
      </c>
      <c r="B38" s="282">
        <f>ROUND(B13/B21,6)</f>
        <v>1.1672E-2</v>
      </c>
      <c r="C38" s="282">
        <f t="shared" ref="C38:G38" si="6">ROUND(C13/C21,6)</f>
        <v>6.1960000000000001E-3</v>
      </c>
      <c r="D38" s="282">
        <f t="shared" si="6"/>
        <v>4.0639999999999999E-3</v>
      </c>
      <c r="E38" s="282">
        <f t="shared" si="6"/>
        <v>2.8909999999999999E-3</v>
      </c>
      <c r="F38" s="499">
        <f t="shared" si="6"/>
        <v>1.95E-4</v>
      </c>
      <c r="G38" s="500">
        <f t="shared" si="6"/>
        <v>1.12E-4</v>
      </c>
      <c r="I38" s="372"/>
      <c r="J38" s="372"/>
      <c r="K38" s="372"/>
      <c r="L38" s="372"/>
      <c r="M38" s="372"/>
      <c r="N38" s="372"/>
      <c r="O38" s="372"/>
      <c r="P38" s="372"/>
    </row>
    <row r="39" spans="1:16" ht="15" customHeight="1" x14ac:dyDescent="0.35">
      <c r="A39" s="171" t="s">
        <v>12</v>
      </c>
      <c r="B39" s="282">
        <f t="shared" ref="B39:G39" si="7">ROUND(B14/B22,6)</f>
        <v>6.0130000000000001E-3</v>
      </c>
      <c r="C39" s="282">
        <f t="shared" si="7"/>
        <v>3.4759999999999999E-3</v>
      </c>
      <c r="D39" s="282">
        <f t="shared" si="7"/>
        <v>1.784E-3</v>
      </c>
      <c r="E39" s="282">
        <f t="shared" si="7"/>
        <v>1.3600000000000001E-3</v>
      </c>
      <c r="F39" s="499">
        <f t="shared" si="7"/>
        <v>1.4200000000000001E-4</v>
      </c>
      <c r="G39" s="500">
        <f t="shared" si="7"/>
        <v>2.5999999999999998E-5</v>
      </c>
      <c r="I39" s="372"/>
      <c r="J39" s="372"/>
      <c r="K39" s="372"/>
      <c r="L39" s="372"/>
      <c r="M39" s="372"/>
      <c r="N39" s="372"/>
      <c r="O39" s="372"/>
      <c r="P39" s="372"/>
    </row>
    <row r="40" spans="1:16" ht="15" customHeight="1" x14ac:dyDescent="0.35">
      <c r="A40" s="171" t="s">
        <v>13</v>
      </c>
      <c r="B40" s="282">
        <f t="shared" ref="B40:G40" si="8">ROUND(B15/B23,6)</f>
        <v>5.1190000000000003E-3</v>
      </c>
      <c r="C40" s="282">
        <f t="shared" si="8"/>
        <v>2.7929999999999999E-3</v>
      </c>
      <c r="D40" s="282">
        <f t="shared" si="8"/>
        <v>1.7639999999999999E-3</v>
      </c>
      <c r="E40" s="282">
        <f t="shared" si="8"/>
        <v>1.3359999999999999E-3</v>
      </c>
      <c r="F40" s="499">
        <f t="shared" si="8"/>
        <v>1.5200000000000001E-4</v>
      </c>
      <c r="G40" s="500">
        <f t="shared" si="8"/>
        <v>8.7999999999999998E-5</v>
      </c>
      <c r="I40" s="372"/>
      <c r="J40" s="372"/>
      <c r="K40" s="372"/>
      <c r="L40" s="372"/>
      <c r="M40" s="372"/>
      <c r="N40" s="372"/>
      <c r="O40" s="372"/>
      <c r="P40" s="372"/>
    </row>
    <row r="41" spans="1:16" ht="15" customHeight="1" thickBot="1" x14ac:dyDescent="0.4">
      <c r="A41" s="174" t="s">
        <v>14</v>
      </c>
      <c r="B41" s="215">
        <f t="shared" ref="B41:G41" si="9">ROUND(B16/B24,6)</f>
        <v>8.7569999999999992E-3</v>
      </c>
      <c r="C41" s="498">
        <f t="shared" si="9"/>
        <v>4.8060000000000004E-3</v>
      </c>
      <c r="D41" s="498">
        <f t="shared" si="9"/>
        <v>3.0669999999999998E-3</v>
      </c>
      <c r="E41" s="498">
        <f t="shared" si="9"/>
        <v>2.2060000000000001E-3</v>
      </c>
      <c r="F41" s="276">
        <f t="shared" si="9"/>
        <v>1.3899999999999999E-4</v>
      </c>
      <c r="G41" s="277">
        <f t="shared" si="9"/>
        <v>8.8999999999999995E-5</v>
      </c>
      <c r="I41" s="372"/>
      <c r="J41" s="372"/>
      <c r="K41" s="372"/>
      <c r="L41" s="372"/>
      <c r="M41" s="372"/>
      <c r="N41" s="372"/>
      <c r="O41" s="372"/>
      <c r="P41" s="372"/>
    </row>
  </sheetData>
  <mergeCells count="6">
    <mergeCell ref="A35:A36"/>
    <mergeCell ref="A6:G6"/>
    <mergeCell ref="A26:A27"/>
    <mergeCell ref="A34:G34"/>
    <mergeCell ref="A10:A11"/>
    <mergeCell ref="A18:A19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Z75"/>
  <sheetViews>
    <sheetView showGridLines="0" topLeftCell="A59" workbookViewId="0">
      <selection activeCell="J65" sqref="J65"/>
    </sheetView>
  </sheetViews>
  <sheetFormatPr baseColWidth="10" defaultRowHeight="12.75" x14ac:dyDescent="0.35"/>
  <cols>
    <col min="1" max="1" width="12.73046875" bestFit="1" customWidth="1"/>
    <col min="2" max="2" width="14.86328125" customWidth="1"/>
    <col min="3" max="3" width="14.59765625" customWidth="1"/>
    <col min="4" max="13" width="15.1328125" bestFit="1" customWidth="1"/>
    <col min="15" max="26" width="14.73046875" customWidth="1"/>
  </cols>
  <sheetData>
    <row r="1" spans="1:4" s="1" customFormat="1" x14ac:dyDescent="0.35"/>
    <row r="2" spans="1:4" s="1" customFormat="1" x14ac:dyDescent="0.35"/>
    <row r="3" spans="1:4" s="1" customFormat="1" x14ac:dyDescent="0.35"/>
    <row r="4" spans="1:4" s="1" customFormat="1" x14ac:dyDescent="0.35"/>
    <row r="5" spans="1:4" s="1" customFormat="1" x14ac:dyDescent="0.35"/>
    <row r="6" spans="1:4" s="369" customFormat="1" ht="30" customHeight="1" x14ac:dyDescent="0.35">
      <c r="A6" s="369" t="s">
        <v>193</v>
      </c>
    </row>
    <row r="8" spans="1:4" s="379" customFormat="1" ht="15" x14ac:dyDescent="0.4">
      <c r="A8" s="392" t="s">
        <v>161</v>
      </c>
    </row>
    <row r="9" spans="1:4" ht="13.15" thickBot="1" x14ac:dyDescent="0.4"/>
    <row r="10" spans="1:4" ht="13.5" thickBot="1" x14ac:dyDescent="0.4">
      <c r="A10" s="441" t="s">
        <v>165</v>
      </c>
      <c r="B10" s="1"/>
      <c r="C10" s="1"/>
    </row>
    <row r="11" spans="1:4" ht="18" customHeight="1" x14ac:dyDescent="0.35">
      <c r="A11" s="442" t="s">
        <v>162</v>
      </c>
      <c r="B11" s="443"/>
      <c r="C11" s="444">
        <v>50</v>
      </c>
    </row>
    <row r="12" spans="1:4" ht="18" customHeight="1" x14ac:dyDescent="0.35">
      <c r="A12" s="445" t="s">
        <v>163</v>
      </c>
      <c r="B12" s="446"/>
      <c r="C12" s="447">
        <v>28.799969999999998</v>
      </c>
    </row>
    <row r="13" spans="1:4" ht="18" customHeight="1" x14ac:dyDescent="0.35">
      <c r="A13" s="445" t="s">
        <v>164</v>
      </c>
      <c r="B13" s="446"/>
      <c r="C13" s="447">
        <f>C11*C12/60</f>
        <v>23.999974999999999</v>
      </c>
    </row>
    <row r="14" spans="1:4" ht="18" customHeight="1" x14ac:dyDescent="0.35">
      <c r="A14" s="445" t="s">
        <v>166</v>
      </c>
      <c r="B14" s="446"/>
      <c r="C14" s="448">
        <v>0.1</v>
      </c>
    </row>
    <row r="15" spans="1:4" ht="18" customHeight="1" thickBot="1" x14ac:dyDescent="0.4">
      <c r="A15" s="449" t="s">
        <v>167</v>
      </c>
      <c r="B15" s="450"/>
      <c r="C15" s="451">
        <f>C11*8760*C14</f>
        <v>43800</v>
      </c>
    </row>
    <row r="16" spans="1:4" ht="13.15" thickBot="1" x14ac:dyDescent="0.4">
      <c r="A16" s="355"/>
      <c r="D16" s="356"/>
    </row>
    <row r="17" spans="1:21" s="308" customFormat="1" ht="25.15" customHeight="1" x14ac:dyDescent="0.35">
      <c r="A17" s="646" t="s">
        <v>141</v>
      </c>
      <c r="B17" s="162" t="s">
        <v>170</v>
      </c>
      <c r="C17" s="162"/>
      <c r="D17" s="162"/>
      <c r="E17" s="162"/>
      <c r="F17" s="162"/>
      <c r="G17" s="162"/>
      <c r="H17" s="309" t="s">
        <v>171</v>
      </c>
      <c r="I17" s="309"/>
      <c r="J17" s="357"/>
      <c r="K17" s="357"/>
      <c r="L17" s="357"/>
      <c r="M17" s="310"/>
    </row>
    <row r="18" spans="1:21" s="308" customFormat="1" ht="25.15" customHeight="1" x14ac:dyDescent="0.35">
      <c r="A18" s="647"/>
      <c r="B18" s="164" t="s">
        <v>15</v>
      </c>
      <c r="C18" s="164" t="s">
        <v>16</v>
      </c>
      <c r="D18" s="164" t="s">
        <v>17</v>
      </c>
      <c r="E18" s="164" t="s">
        <v>18</v>
      </c>
      <c r="F18" s="164" t="s">
        <v>19</v>
      </c>
      <c r="G18" s="164" t="s">
        <v>20</v>
      </c>
      <c r="H18" s="164" t="s">
        <v>15</v>
      </c>
      <c r="I18" s="164" t="s">
        <v>16</v>
      </c>
      <c r="J18" s="164" t="s">
        <v>17</v>
      </c>
      <c r="K18" s="164" t="s">
        <v>18</v>
      </c>
      <c r="L18" s="164" t="s">
        <v>19</v>
      </c>
      <c r="M18" s="165" t="s">
        <v>20</v>
      </c>
    </row>
    <row r="19" spans="1:21" s="308" customFormat="1" ht="30" customHeight="1" x14ac:dyDescent="0.35">
      <c r="A19" s="347" t="s">
        <v>2</v>
      </c>
      <c r="B19" s="351">
        <f>'Va. Peajes transporte'!B80</f>
        <v>1.5477498025675325</v>
      </c>
      <c r="C19" s="351">
        <f>'Va. Peajes transporte'!C80</f>
        <v>1.0093908208249129</v>
      </c>
      <c r="D19" s="351">
        <f>'Va. Peajes transporte'!D80</f>
        <v>0.44058478038081378</v>
      </c>
      <c r="E19" s="351">
        <f>'Va. Peajes transporte'!E80</f>
        <v>0.35844661464291849</v>
      </c>
      <c r="F19" s="351">
        <f>'Va. Peajes transporte'!F80</f>
        <v>4.2634692970087262E-2</v>
      </c>
      <c r="G19" s="351">
        <f>'Va. Peajes transporte'!G80</f>
        <v>4.2634692970087262E-2</v>
      </c>
      <c r="H19" s="532">
        <f>'Va. Peajes transporte'!I80</f>
        <v>5.7195538652317721E-3</v>
      </c>
      <c r="I19" s="532">
        <f>'Va. Peajes transporte'!J80</f>
        <v>2.978888453247848E-3</v>
      </c>
      <c r="J19" s="532">
        <f>'Va. Peajes transporte'!K80</f>
        <v>1.7846352889090244E-3</v>
      </c>
      <c r="K19" s="532">
        <f>'Va. Peajes transporte'!L80</f>
        <v>1.3009598510271606E-3</v>
      </c>
      <c r="L19" s="532">
        <f>'Va. Peajes transporte'!M80</f>
        <v>8.4602708926208455E-5</v>
      </c>
      <c r="M19" s="533">
        <f>'Va. Peajes transporte'!N80</f>
        <v>5.4536769750304317E-5</v>
      </c>
      <c r="O19" s="318"/>
      <c r="P19" s="317"/>
      <c r="Q19" s="317"/>
      <c r="R19" s="317"/>
      <c r="S19" s="317"/>
      <c r="T19" s="317"/>
      <c r="U19" s="311"/>
    </row>
    <row r="20" spans="1:21" s="308" customFormat="1" ht="30" customHeight="1" x14ac:dyDescent="0.35">
      <c r="A20" s="358" t="s">
        <v>145</v>
      </c>
      <c r="B20" s="359">
        <f>'Vb. Peajes distribución'!B80</f>
        <v>10.450079858356183</v>
      </c>
      <c r="C20" s="359">
        <f>'Vb. Peajes distribución'!C80</f>
        <v>6.6784137075103907</v>
      </c>
      <c r="D20" s="359">
        <f>'Vb. Peajes distribución'!D80</f>
        <v>2.8668517052221816</v>
      </c>
      <c r="E20" s="359">
        <f>'Vb. Peajes distribución'!E80</f>
        <v>2.4333393346042125</v>
      </c>
      <c r="F20" s="359">
        <f>'Vb. Peajes distribución'!F80</f>
        <v>0.89180017035335868</v>
      </c>
      <c r="G20" s="359">
        <f>'Vb. Peajes distribución'!G80</f>
        <v>0.89180017035335868</v>
      </c>
      <c r="H20" s="534">
        <f>'Vb. Peajes distribución'!I80</f>
        <v>1.8254281093029734E-2</v>
      </c>
      <c r="I20" s="534">
        <f>'Vb. Peajes distribución'!J80</f>
        <v>9.8410301927576282E-3</v>
      </c>
      <c r="J20" s="534">
        <f>'Vb. Peajes distribución'!K80</f>
        <v>5.7877321560469448E-3</v>
      </c>
      <c r="K20" s="534">
        <f>'Vb. Peajes distribución'!L80</f>
        <v>4.1936734076252332E-3</v>
      </c>
      <c r="L20" s="534">
        <f>'Vb. Peajes distribución'!M80</f>
        <v>3.3904924184037272E-4</v>
      </c>
      <c r="M20" s="535">
        <f>'Vb. Peajes distribución'!N80</f>
        <v>1.7949496673869581E-4</v>
      </c>
      <c r="O20" s="318"/>
      <c r="P20" s="317"/>
      <c r="Q20" s="317"/>
      <c r="R20" s="317"/>
      <c r="S20" s="317"/>
      <c r="T20" s="317"/>
      <c r="U20" s="311"/>
    </row>
    <row r="21" spans="1:21" s="308" customFormat="1" ht="30" customHeight="1" thickBot="1" x14ac:dyDescent="0.4">
      <c r="A21" s="373" t="s">
        <v>149</v>
      </c>
      <c r="B21" s="374">
        <f>SUM(B19:B20)</f>
        <v>11.997829660923715</v>
      </c>
      <c r="C21" s="374">
        <f>SUM(C19:C20)</f>
        <v>7.6878045283353034</v>
      </c>
      <c r="D21" s="374">
        <f t="shared" ref="D21:G21" si="0">SUM(D19:D20)</f>
        <v>3.3074364856029952</v>
      </c>
      <c r="E21" s="374">
        <f t="shared" si="0"/>
        <v>2.7917859492471311</v>
      </c>
      <c r="F21" s="374">
        <f t="shared" si="0"/>
        <v>0.93443486332344594</v>
      </c>
      <c r="G21" s="374">
        <f t="shared" si="0"/>
        <v>0.93443486332344594</v>
      </c>
      <c r="H21" s="536">
        <f>SUM(H19:H20)</f>
        <v>2.3973834958261504E-2</v>
      </c>
      <c r="I21" s="536">
        <f t="shared" ref="I21" si="1">SUM(I19:I20)</f>
        <v>1.2819918646005476E-2</v>
      </c>
      <c r="J21" s="536">
        <f t="shared" ref="J21" si="2">SUM(J19:J20)</f>
        <v>7.5723674449559696E-3</v>
      </c>
      <c r="K21" s="536">
        <f t="shared" ref="K21" si="3">SUM(K19:K20)</f>
        <v>5.4946332586523934E-3</v>
      </c>
      <c r="L21" s="536">
        <f t="shared" ref="L21" si="4">SUM(L19:L20)</f>
        <v>4.2365195076658117E-4</v>
      </c>
      <c r="M21" s="537">
        <f t="shared" ref="M21" si="5">SUM(M19:M20)</f>
        <v>2.3403173648900013E-4</v>
      </c>
      <c r="O21" s="318"/>
      <c r="P21" s="317"/>
      <c r="Q21" s="317"/>
      <c r="R21" s="317"/>
      <c r="S21" s="317"/>
      <c r="T21" s="317"/>
      <c r="U21" s="311"/>
    </row>
    <row r="22" spans="1:21" ht="13.15" thickBot="1" x14ac:dyDescent="0.4">
      <c r="A22" s="354"/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</row>
    <row r="23" spans="1:21" s="308" customFormat="1" ht="23.25" customHeight="1" x14ac:dyDescent="0.35">
      <c r="A23" s="646" t="s">
        <v>141</v>
      </c>
      <c r="B23" s="162" t="s">
        <v>168</v>
      </c>
      <c r="C23" s="162"/>
      <c r="D23" s="162"/>
      <c r="E23" s="640" t="s">
        <v>123</v>
      </c>
    </row>
    <row r="24" spans="1:21" s="308" customFormat="1" ht="38.25" x14ac:dyDescent="0.35">
      <c r="A24" s="647"/>
      <c r="B24" s="239" t="s">
        <v>172</v>
      </c>
      <c r="C24" s="239" t="s">
        <v>173</v>
      </c>
      <c r="D24" s="239" t="s">
        <v>174</v>
      </c>
      <c r="E24" s="641"/>
    </row>
    <row r="25" spans="1:21" ht="18" customHeight="1" x14ac:dyDescent="0.35">
      <c r="A25" s="349" t="s">
        <v>151</v>
      </c>
      <c r="B25" s="352">
        <f>$C$11*SUM(B19:G19)</f>
        <v>172.07207021781761</v>
      </c>
      <c r="C25" s="352">
        <f>$C$15*AVERAGE(H19:M19)</f>
        <v>87.039191640773922</v>
      </c>
      <c r="D25" s="352">
        <f>SUM(B25:C25)</f>
        <v>259.11126185859155</v>
      </c>
      <c r="E25" s="454">
        <f t="shared" ref="E25" si="6">B25/D25</f>
        <v>0.66408564793191016</v>
      </c>
      <c r="F25" s="238"/>
      <c r="G25" s="238"/>
      <c r="I25" s="238"/>
      <c r="J25" s="238"/>
      <c r="K25" s="238"/>
      <c r="L25" s="238"/>
    </row>
    <row r="26" spans="1:21" ht="18" customHeight="1" x14ac:dyDescent="0.35">
      <c r="A26" s="360" t="s">
        <v>152</v>
      </c>
      <c r="B26" s="455">
        <f>$C$11*SUM(B20:G20)</f>
        <v>1210.6142473199843</v>
      </c>
      <c r="C26" s="455">
        <f>$C$15*AVERAGE(H20:M20)</f>
        <v>281.74540572368187</v>
      </c>
      <c r="D26" s="455">
        <f>SUM(B26:C26)</f>
        <v>1492.3596530436662</v>
      </c>
      <c r="E26" s="456">
        <f>B26/D26</f>
        <v>0.81120810580139824</v>
      </c>
      <c r="F26" s="238"/>
      <c r="G26" s="238"/>
      <c r="I26" s="238"/>
      <c r="J26" s="238"/>
      <c r="K26" s="238"/>
      <c r="L26" s="238"/>
    </row>
    <row r="27" spans="1:21" ht="18" customHeight="1" thickBot="1" x14ac:dyDescent="0.4">
      <c r="A27" s="383" t="s">
        <v>4</v>
      </c>
      <c r="B27" s="457">
        <f>SUM(B25:B26)</f>
        <v>1382.6863175378019</v>
      </c>
      <c r="C27" s="457">
        <f t="shared" ref="C27:D27" si="7">SUM(C25:C26)</f>
        <v>368.78459736445581</v>
      </c>
      <c r="D27" s="457">
        <f t="shared" si="7"/>
        <v>1751.4709149022578</v>
      </c>
      <c r="E27" s="458">
        <f>B27/D27</f>
        <v>0.78944292238787406</v>
      </c>
      <c r="F27" s="238"/>
      <c r="G27" s="238"/>
    </row>
    <row r="28" spans="1:21" s="308" customFormat="1" x14ac:dyDescent="0.35"/>
    <row r="29" spans="1:21" s="308" customFormat="1" ht="13.15" thickBot="1" x14ac:dyDescent="0.4"/>
    <row r="30" spans="1:21" s="308" customFormat="1" ht="36.75" customHeight="1" x14ac:dyDescent="0.35">
      <c r="A30" s="646" t="s">
        <v>141</v>
      </c>
      <c r="B30" s="162" t="s">
        <v>169</v>
      </c>
      <c r="C30" s="163"/>
    </row>
    <row r="31" spans="1:21" s="308" customFormat="1" ht="51" x14ac:dyDescent="0.35">
      <c r="A31" s="647"/>
      <c r="B31" s="239" t="s">
        <v>175</v>
      </c>
      <c r="C31" s="307" t="s">
        <v>176</v>
      </c>
    </row>
    <row r="32" spans="1:21" ht="18" customHeight="1" x14ac:dyDescent="0.35">
      <c r="A32" s="349" t="s">
        <v>151</v>
      </c>
      <c r="B32" s="459">
        <f>D25*20%/B25</f>
        <v>0.30116597252604133</v>
      </c>
      <c r="C32" s="460">
        <f>D25*80%/C25</f>
        <v>2.3815594513146618</v>
      </c>
      <c r="D32" s="308"/>
      <c r="E32" s="308"/>
      <c r="F32" s="238"/>
      <c r="G32" s="238"/>
      <c r="I32" s="238"/>
      <c r="J32" s="238"/>
      <c r="K32" s="238"/>
      <c r="L32" s="238"/>
    </row>
    <row r="33" spans="1:26" ht="18" customHeight="1" thickBot="1" x14ac:dyDescent="0.4">
      <c r="A33" s="350" t="s">
        <v>152</v>
      </c>
      <c r="B33" s="461">
        <f>D26*20%/B26</f>
        <v>0.24654585989672601</v>
      </c>
      <c r="C33" s="462">
        <f>D26*80%/C26</f>
        <v>4.237470064040096</v>
      </c>
      <c r="D33" s="308"/>
      <c r="E33" s="308"/>
      <c r="F33" s="238"/>
      <c r="G33" s="238"/>
      <c r="I33" s="238"/>
      <c r="J33" s="238"/>
      <c r="K33" s="238"/>
      <c r="L33" s="238"/>
    </row>
    <row r="34" spans="1:26" s="308" customFormat="1" ht="13.15" thickBot="1" x14ac:dyDescent="0.4"/>
    <row r="35" spans="1:26" s="308" customFormat="1" ht="25.15" customHeight="1" x14ac:dyDescent="0.35">
      <c r="A35" s="646" t="s">
        <v>141</v>
      </c>
      <c r="B35" s="162" t="s">
        <v>177</v>
      </c>
      <c r="C35" s="162"/>
      <c r="D35" s="162"/>
      <c r="E35" s="162"/>
      <c r="F35" s="162"/>
      <c r="G35" s="162"/>
      <c r="H35" s="309" t="s">
        <v>178</v>
      </c>
      <c r="I35" s="309"/>
      <c r="J35" s="357"/>
      <c r="K35" s="357"/>
      <c r="L35" s="357"/>
      <c r="M35" s="310"/>
    </row>
    <row r="36" spans="1:26" s="308" customFormat="1" ht="25.15" customHeight="1" x14ac:dyDescent="0.35">
      <c r="A36" s="647"/>
      <c r="B36" s="164" t="s">
        <v>15</v>
      </c>
      <c r="C36" s="164" t="s">
        <v>16</v>
      </c>
      <c r="D36" s="164" t="s">
        <v>17</v>
      </c>
      <c r="E36" s="164" t="s">
        <v>18</v>
      </c>
      <c r="F36" s="164" t="s">
        <v>19</v>
      </c>
      <c r="G36" s="164" t="s">
        <v>20</v>
      </c>
      <c r="H36" s="164" t="s">
        <v>15</v>
      </c>
      <c r="I36" s="164" t="s">
        <v>16</v>
      </c>
      <c r="J36" s="164" t="s">
        <v>17</v>
      </c>
      <c r="K36" s="164" t="s">
        <v>18</v>
      </c>
      <c r="L36" s="164" t="s">
        <v>19</v>
      </c>
      <c r="M36" s="165" t="s">
        <v>20</v>
      </c>
    </row>
    <row r="37" spans="1:26" s="308" customFormat="1" ht="30" customHeight="1" x14ac:dyDescent="0.35">
      <c r="A37" s="347" t="s">
        <v>2</v>
      </c>
      <c r="B37" s="501">
        <f>ROUND($B$32*B19,6)</f>
        <v>0.46612999999999999</v>
      </c>
      <c r="C37" s="501">
        <f t="shared" ref="C37:G37" si="8">ROUND($B$32*C19,6)</f>
        <v>0.30399399999999999</v>
      </c>
      <c r="D37" s="501">
        <f t="shared" si="8"/>
        <v>0.132689</v>
      </c>
      <c r="E37" s="501">
        <f t="shared" si="8"/>
        <v>0.10795200000000001</v>
      </c>
      <c r="F37" s="501">
        <f t="shared" si="8"/>
        <v>1.2840000000000001E-2</v>
      </c>
      <c r="G37" s="501">
        <f t="shared" si="8"/>
        <v>1.2840000000000001E-2</v>
      </c>
      <c r="H37" s="482">
        <f>ROUND($C$32*H19,6)</f>
        <v>1.3620999999999999E-2</v>
      </c>
      <c r="I37" s="482">
        <f t="shared" ref="I37:M37" si="9">ROUND($C$32*I19,6)</f>
        <v>7.0939999999999996E-3</v>
      </c>
      <c r="J37" s="482">
        <f t="shared" si="9"/>
        <v>4.2500000000000003E-3</v>
      </c>
      <c r="K37" s="482">
        <f t="shared" si="9"/>
        <v>3.0980000000000001E-3</v>
      </c>
      <c r="L37" s="482">
        <f t="shared" si="9"/>
        <v>2.0100000000000001E-4</v>
      </c>
      <c r="M37" s="483">
        <f t="shared" si="9"/>
        <v>1.2999999999999999E-4</v>
      </c>
    </row>
    <row r="38" spans="1:26" s="308" customFormat="1" ht="30" customHeight="1" x14ac:dyDescent="0.35">
      <c r="A38" s="358" t="s">
        <v>145</v>
      </c>
      <c r="B38" s="502">
        <f>ROUND(B20*$B$33,6)</f>
        <v>2.5764239999999998</v>
      </c>
      <c r="C38" s="502">
        <f t="shared" ref="C38:G38" si="10">ROUND(C20*$B$33,6)</f>
        <v>1.6465350000000001</v>
      </c>
      <c r="D38" s="502">
        <f t="shared" si="10"/>
        <v>0.70681000000000005</v>
      </c>
      <c r="E38" s="502">
        <f t="shared" si="10"/>
        <v>0.59992999999999996</v>
      </c>
      <c r="F38" s="502">
        <f t="shared" si="10"/>
        <v>0.21987000000000001</v>
      </c>
      <c r="G38" s="502">
        <f t="shared" si="10"/>
        <v>0.21987000000000001</v>
      </c>
      <c r="H38" s="486">
        <f>ROUND($C$33*H20,6)</f>
        <v>7.7352000000000004E-2</v>
      </c>
      <c r="I38" s="486">
        <f t="shared" ref="I38:M38" si="11">ROUND($C$33*I20,6)</f>
        <v>4.1701000000000002E-2</v>
      </c>
      <c r="J38" s="486">
        <f t="shared" si="11"/>
        <v>2.4525000000000002E-2</v>
      </c>
      <c r="K38" s="486">
        <f t="shared" si="11"/>
        <v>1.7770999999999999E-2</v>
      </c>
      <c r="L38" s="486">
        <f t="shared" si="11"/>
        <v>1.4369999999999999E-3</v>
      </c>
      <c r="M38" s="584">
        <f t="shared" si="11"/>
        <v>7.6099999999999996E-4</v>
      </c>
    </row>
    <row r="39" spans="1:26" s="308" customFormat="1" ht="30" customHeight="1" thickBot="1" x14ac:dyDescent="0.4">
      <c r="A39" s="373" t="s">
        <v>149</v>
      </c>
      <c r="B39" s="503">
        <f>SUM(B37:B38)</f>
        <v>3.042554</v>
      </c>
      <c r="C39" s="503">
        <f>SUM(C37:C38)</f>
        <v>1.950529</v>
      </c>
      <c r="D39" s="503">
        <f t="shared" ref="D39" si="12">SUM(D37:D38)</f>
        <v>0.839499</v>
      </c>
      <c r="E39" s="503">
        <f t="shared" ref="E39" si="13">SUM(E37:E38)</f>
        <v>0.70788200000000001</v>
      </c>
      <c r="F39" s="503">
        <f t="shared" ref="F39" si="14">SUM(F37:F38)</f>
        <v>0.23271</v>
      </c>
      <c r="G39" s="503">
        <f t="shared" ref="G39" si="15">SUM(G37:G38)</f>
        <v>0.23271</v>
      </c>
      <c r="H39" s="484">
        <f>SUM(H37:H38)</f>
        <v>9.0972999999999998E-2</v>
      </c>
      <c r="I39" s="484">
        <f t="shared" ref="I39:M39" si="16">SUM(I37:I38)</f>
        <v>4.8795000000000005E-2</v>
      </c>
      <c r="J39" s="484">
        <f t="shared" si="16"/>
        <v>2.8775000000000002E-2</v>
      </c>
      <c r="K39" s="484">
        <f t="shared" si="16"/>
        <v>2.0868999999999999E-2</v>
      </c>
      <c r="L39" s="484">
        <f t="shared" si="16"/>
        <v>1.6379999999999999E-3</v>
      </c>
      <c r="M39" s="485">
        <f t="shared" si="16"/>
        <v>8.9099999999999997E-4</v>
      </c>
    </row>
    <row r="40" spans="1:26" s="308" customFormat="1" x14ac:dyDescent="0.35">
      <c r="B40" s="538"/>
    </row>
    <row r="41" spans="1:26" s="308" customFormat="1" x14ac:dyDescent="0.35">
      <c r="O41" s="538"/>
      <c r="P41" s="538"/>
      <c r="Q41" s="538"/>
      <c r="R41" s="538"/>
      <c r="S41" s="538"/>
      <c r="T41" s="538"/>
      <c r="U41" s="538"/>
      <c r="V41" s="538"/>
      <c r="W41" s="538"/>
      <c r="X41" s="538"/>
      <c r="Y41" s="538"/>
      <c r="Z41" s="538"/>
    </row>
    <row r="42" spans="1:26" s="379" customFormat="1" ht="15" x14ac:dyDescent="0.4">
      <c r="A42" s="392" t="s">
        <v>179</v>
      </c>
      <c r="O42" s="538"/>
      <c r="P42" s="538"/>
      <c r="Q42" s="538"/>
      <c r="R42" s="538"/>
      <c r="S42" s="538"/>
      <c r="T42" s="538"/>
      <c r="U42" s="538"/>
      <c r="V42" s="538"/>
      <c r="W42" s="538"/>
      <c r="X42" s="538"/>
      <c r="Y42" s="538"/>
      <c r="Z42" s="538"/>
    </row>
    <row r="43" spans="1:26" ht="13.15" thickBot="1" x14ac:dyDescent="0.4"/>
    <row r="44" spans="1:26" ht="13.5" thickBot="1" x14ac:dyDescent="0.4">
      <c r="A44" s="441" t="s">
        <v>165</v>
      </c>
      <c r="B44" s="1"/>
      <c r="C44" s="1"/>
    </row>
    <row r="45" spans="1:26" ht="18" customHeight="1" x14ac:dyDescent="0.35">
      <c r="A45" s="442" t="s">
        <v>162</v>
      </c>
      <c r="B45" s="443"/>
      <c r="C45" s="444">
        <v>150</v>
      </c>
    </row>
    <row r="46" spans="1:26" ht="18" customHeight="1" x14ac:dyDescent="0.35">
      <c r="A46" s="445" t="s">
        <v>163</v>
      </c>
      <c r="B46" s="446"/>
      <c r="C46" s="447">
        <v>28.799969999999998</v>
      </c>
    </row>
    <row r="47" spans="1:26" ht="18" customHeight="1" x14ac:dyDescent="0.35">
      <c r="A47" s="445" t="s">
        <v>164</v>
      </c>
      <c r="B47" s="446"/>
      <c r="C47" s="447">
        <f>C45*C46/60</f>
        <v>71.999925000000005</v>
      </c>
    </row>
    <row r="48" spans="1:26" ht="18" customHeight="1" x14ac:dyDescent="0.35">
      <c r="A48" s="445" t="s">
        <v>166</v>
      </c>
      <c r="B48" s="446"/>
      <c r="C48" s="448">
        <v>0.1</v>
      </c>
    </row>
    <row r="49" spans="1:21" ht="18" customHeight="1" thickBot="1" x14ac:dyDescent="0.4">
      <c r="A49" s="449" t="s">
        <v>167</v>
      </c>
      <c r="B49" s="450"/>
      <c r="C49" s="451">
        <f>C45*8760*C48</f>
        <v>131400</v>
      </c>
    </row>
    <row r="50" spans="1:21" ht="13.15" thickBot="1" x14ac:dyDescent="0.4">
      <c r="A50" s="355"/>
      <c r="D50" s="356"/>
    </row>
    <row r="51" spans="1:21" s="308" customFormat="1" ht="25.15" customHeight="1" x14ac:dyDescent="0.35">
      <c r="A51" s="646" t="s">
        <v>141</v>
      </c>
      <c r="B51" s="162" t="s">
        <v>180</v>
      </c>
      <c r="C51" s="162"/>
      <c r="D51" s="162"/>
      <c r="E51" s="162"/>
      <c r="F51" s="162"/>
      <c r="G51" s="162"/>
      <c r="H51" s="309" t="s">
        <v>181</v>
      </c>
      <c r="I51" s="309"/>
      <c r="J51" s="357"/>
      <c r="K51" s="357"/>
      <c r="L51" s="357"/>
      <c r="M51" s="310"/>
    </row>
    <row r="52" spans="1:21" s="308" customFormat="1" ht="25.15" customHeight="1" x14ac:dyDescent="0.35">
      <c r="A52" s="647"/>
      <c r="B52" s="164" t="s">
        <v>15</v>
      </c>
      <c r="C52" s="164" t="s">
        <v>16</v>
      </c>
      <c r="D52" s="164" t="s">
        <v>17</v>
      </c>
      <c r="E52" s="164" t="s">
        <v>18</v>
      </c>
      <c r="F52" s="164" t="s">
        <v>19</v>
      </c>
      <c r="G52" s="164" t="s">
        <v>20</v>
      </c>
      <c r="H52" s="164" t="s">
        <v>15</v>
      </c>
      <c r="I52" s="164" t="s">
        <v>16</v>
      </c>
      <c r="J52" s="164" t="s">
        <v>17</v>
      </c>
      <c r="K52" s="164" t="s">
        <v>18</v>
      </c>
      <c r="L52" s="164" t="s">
        <v>19</v>
      </c>
      <c r="M52" s="165" t="s">
        <v>20</v>
      </c>
    </row>
    <row r="53" spans="1:21" s="308" customFormat="1" ht="30" customHeight="1" x14ac:dyDescent="0.35">
      <c r="A53" s="347" t="s">
        <v>2</v>
      </c>
      <c r="B53" s="351">
        <f>'Va. Peajes transporte'!B81</f>
        <v>5.0383162497356127</v>
      </c>
      <c r="C53" s="351">
        <f>'Va. Peajes transporte'!C81</f>
        <v>3.1018683444403328</v>
      </c>
      <c r="D53" s="351">
        <f>'Va. Peajes transporte'!D81</f>
        <v>2.3850324605077082</v>
      </c>
      <c r="E53" s="351">
        <f>'Va. Peajes transporte'!E81</f>
        <v>1.8920336520891938</v>
      </c>
      <c r="F53" s="351">
        <f>'Va. Peajes transporte'!F81</f>
        <v>7.8114331341535573E-2</v>
      </c>
      <c r="G53" s="351">
        <f>'Va. Peajes transporte'!G81</f>
        <v>7.8114331341535573E-2</v>
      </c>
      <c r="H53" s="532">
        <f>'Va. Peajes transporte'!I81</f>
        <v>5.2241654662229103E-3</v>
      </c>
      <c r="I53" s="532">
        <f>'Va. Peajes transporte'!J81</f>
        <v>2.712686263452101E-3</v>
      </c>
      <c r="J53" s="532">
        <f>'Va. Peajes transporte'!K81</f>
        <v>1.7424631833237842E-3</v>
      </c>
      <c r="K53" s="532">
        <f>'Va. Peajes transporte'!L81</f>
        <v>1.2725996906151923E-3</v>
      </c>
      <c r="L53" s="532">
        <f>'Va. Peajes transporte'!M81</f>
        <v>8.1041379142471025E-5</v>
      </c>
      <c r="M53" s="533">
        <f>'Va. Peajes transporte'!N81</f>
        <v>4.9400604098706728E-5</v>
      </c>
      <c r="O53" s="318"/>
      <c r="P53" s="317"/>
      <c r="Q53" s="317"/>
      <c r="R53" s="317"/>
      <c r="S53" s="317"/>
      <c r="T53" s="317"/>
      <c r="U53" s="311"/>
    </row>
    <row r="54" spans="1:21" s="308" customFormat="1" ht="30" customHeight="1" x14ac:dyDescent="0.35">
      <c r="A54" s="358" t="s">
        <v>145</v>
      </c>
      <c r="B54" s="359">
        <f>'Vb. Peajes distribución'!B81</f>
        <v>15.519533982442123</v>
      </c>
      <c r="C54" s="359">
        <f>'Vb. Peajes distribución'!C81</f>
        <v>9.6610160157690448</v>
      </c>
      <c r="D54" s="359">
        <f>'Vb. Peajes distribución'!D81</f>
        <v>7.5412188399988453</v>
      </c>
      <c r="E54" s="359">
        <f>'Vb. Peajes distribución'!E81</f>
        <v>5.9563460130439854</v>
      </c>
      <c r="F54" s="359">
        <f>'Vb. Peajes distribución'!F81</f>
        <v>0.24702733900820886</v>
      </c>
      <c r="G54" s="359">
        <f>'Vb. Peajes distribución'!G81</f>
        <v>0.24702733900820886</v>
      </c>
      <c r="H54" s="534">
        <f>'Vb. Peajes distribución'!I81</f>
        <v>1.6674591391668971E-2</v>
      </c>
      <c r="I54" s="534">
        <f>'Vb. Peajes distribución'!J81</f>
        <v>8.9622984545094739E-3</v>
      </c>
      <c r="J54" s="534">
        <f>'Vb. Peajes distribución'!K81</f>
        <v>5.6515164189075715E-3</v>
      </c>
      <c r="K54" s="534">
        <f>'Vb. Peajes distribución'!L81</f>
        <v>4.1026353118576208E-3</v>
      </c>
      <c r="L54" s="534">
        <f>'Vb. Peajes distribución'!M81</f>
        <v>3.2479563469786079E-4</v>
      </c>
      <c r="M54" s="535">
        <f>'Vb. Peajes distribución'!N81</f>
        <v>1.6260782485946862E-4</v>
      </c>
      <c r="O54" s="318"/>
      <c r="P54" s="317"/>
      <c r="Q54" s="317"/>
      <c r="R54" s="317"/>
      <c r="S54" s="317"/>
      <c r="T54" s="317"/>
      <c r="U54" s="311"/>
    </row>
    <row r="55" spans="1:21" s="308" customFormat="1" ht="30" customHeight="1" thickBot="1" x14ac:dyDescent="0.4">
      <c r="A55" s="373" t="s">
        <v>149</v>
      </c>
      <c r="B55" s="374">
        <f>SUM(B53:B54)</f>
        <v>20.557850232177735</v>
      </c>
      <c r="C55" s="374">
        <f>SUM(C53:C54)</f>
        <v>12.762884360209377</v>
      </c>
      <c r="D55" s="374">
        <f t="shared" ref="D55" si="17">SUM(D53:D54)</f>
        <v>9.9262513005065536</v>
      </c>
      <c r="E55" s="374">
        <f t="shared" ref="E55" si="18">SUM(E53:E54)</f>
        <v>7.8483796651331792</v>
      </c>
      <c r="F55" s="374">
        <f t="shared" ref="F55" si="19">SUM(F53:F54)</f>
        <v>0.32514167034974445</v>
      </c>
      <c r="G55" s="374">
        <f t="shared" ref="G55" si="20">SUM(G53:G54)</f>
        <v>0.32514167034974445</v>
      </c>
      <c r="H55" s="484">
        <f>SUM(H53:H54)</f>
        <v>2.1898756857891881E-2</v>
      </c>
      <c r="I55" s="484">
        <f t="shared" ref="I55" si="21">SUM(I53:I54)</f>
        <v>1.1674984717961575E-2</v>
      </c>
      <c r="J55" s="484">
        <f t="shared" ref="J55" si="22">SUM(J53:J54)</f>
        <v>7.3939796022313552E-3</v>
      </c>
      <c r="K55" s="484">
        <f t="shared" ref="K55" si="23">SUM(K53:K54)</f>
        <v>5.3752350024728127E-3</v>
      </c>
      <c r="L55" s="484">
        <f t="shared" ref="L55" si="24">SUM(L53:L54)</f>
        <v>4.058370138403318E-4</v>
      </c>
      <c r="M55" s="485">
        <f t="shared" ref="M55" si="25">SUM(M53:M54)</f>
        <v>2.1200842895817534E-4</v>
      </c>
      <c r="O55" s="318"/>
      <c r="P55" s="317"/>
      <c r="Q55" s="317"/>
      <c r="R55" s="317"/>
      <c r="S55" s="317"/>
      <c r="T55" s="317"/>
      <c r="U55" s="311"/>
    </row>
    <row r="56" spans="1:21" ht="13.15" thickBot="1" x14ac:dyDescent="0.4">
      <c r="A56" s="354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</row>
    <row r="57" spans="1:21" s="308" customFormat="1" ht="23.25" customHeight="1" x14ac:dyDescent="0.35">
      <c r="A57" s="646" t="s">
        <v>141</v>
      </c>
      <c r="B57" s="162" t="s">
        <v>182</v>
      </c>
      <c r="C57" s="162"/>
      <c r="D57" s="162"/>
      <c r="E57" s="640" t="s">
        <v>123</v>
      </c>
    </row>
    <row r="58" spans="1:21" s="308" customFormat="1" ht="38.25" x14ac:dyDescent="0.35">
      <c r="A58" s="647"/>
      <c r="B58" s="239" t="s">
        <v>172</v>
      </c>
      <c r="C58" s="239" t="s">
        <v>173</v>
      </c>
      <c r="D58" s="239" t="s">
        <v>174</v>
      </c>
      <c r="E58" s="641"/>
    </row>
    <row r="59" spans="1:21" ht="18" customHeight="1" x14ac:dyDescent="0.35">
      <c r="A59" s="349" t="s">
        <v>151</v>
      </c>
      <c r="B59" s="352">
        <f>$C$45*SUM(B53:G53)</f>
        <v>1886.0219054183876</v>
      </c>
      <c r="C59" s="352">
        <f>$C$49*AVERAGE(H53:M53)</f>
        <v>242.70360925212816</v>
      </c>
      <c r="D59" s="352">
        <f>SUM(B59:C59)</f>
        <v>2128.7255146705156</v>
      </c>
      <c r="E59" s="454">
        <f t="shared" ref="E59" si="26">B59/D59</f>
        <v>0.88598642352924784</v>
      </c>
      <c r="F59" s="238"/>
      <c r="G59" s="238"/>
      <c r="I59" s="238"/>
      <c r="J59" s="238"/>
      <c r="K59" s="238"/>
      <c r="L59" s="238"/>
    </row>
    <row r="60" spans="1:21" ht="18" customHeight="1" x14ac:dyDescent="0.35">
      <c r="A60" s="360" t="s">
        <v>152</v>
      </c>
      <c r="B60" s="455">
        <f>$C$45*SUM(B54:G54)</f>
        <v>5875.825429390562</v>
      </c>
      <c r="C60" s="455">
        <f>$C$49*AVERAGE(H54:M54)</f>
        <v>785.73794629937117</v>
      </c>
      <c r="D60" s="455">
        <f>SUM(B60:C60)</f>
        <v>6661.5633756899333</v>
      </c>
      <c r="E60" s="456">
        <f>B60/D60</f>
        <v>0.88204901732725871</v>
      </c>
      <c r="F60" s="238"/>
      <c r="G60" s="238"/>
      <c r="I60" s="238"/>
      <c r="J60" s="238"/>
      <c r="K60" s="238"/>
      <c r="L60" s="238"/>
    </row>
    <row r="61" spans="1:21" ht="18" customHeight="1" thickBot="1" x14ac:dyDescent="0.4">
      <c r="A61" s="383" t="s">
        <v>4</v>
      </c>
      <c r="B61" s="457">
        <f>SUM(B59:B60)</f>
        <v>7761.8473348089501</v>
      </c>
      <c r="C61" s="457">
        <f t="shared" ref="C61" si="27">SUM(C59:C60)</f>
        <v>1028.4415555514993</v>
      </c>
      <c r="D61" s="457">
        <f t="shared" ref="D61" si="28">SUM(D59:D60)</f>
        <v>8790.2888903604489</v>
      </c>
      <c r="E61" s="458">
        <f>B61/D61</f>
        <v>0.88300253059039935</v>
      </c>
      <c r="F61" s="238"/>
      <c r="G61" s="238"/>
    </row>
    <row r="62" spans="1:21" s="308" customFormat="1" x14ac:dyDescent="0.35"/>
    <row r="63" spans="1:21" s="308" customFormat="1" ht="13.15" thickBot="1" x14ac:dyDescent="0.4"/>
    <row r="64" spans="1:21" s="308" customFormat="1" ht="36.75" customHeight="1" x14ac:dyDescent="0.35">
      <c r="A64" s="646" t="s">
        <v>141</v>
      </c>
      <c r="B64" s="162" t="s">
        <v>213</v>
      </c>
      <c r="C64" s="163"/>
    </row>
    <row r="65" spans="1:21" s="308" customFormat="1" ht="51" x14ac:dyDescent="0.35">
      <c r="A65" s="647"/>
      <c r="B65" s="239" t="s">
        <v>175</v>
      </c>
      <c r="C65" s="307" t="s">
        <v>176</v>
      </c>
    </row>
    <row r="66" spans="1:21" ht="18" customHeight="1" x14ac:dyDescent="0.35">
      <c r="A66" s="349" t="s">
        <v>151</v>
      </c>
      <c r="B66" s="459">
        <f>D59*20%/B59</f>
        <v>0.22573709335558198</v>
      </c>
      <c r="C66" s="460">
        <f>D59*80%/C59</f>
        <v>7.0167082268945693</v>
      </c>
      <c r="D66" s="308"/>
      <c r="E66" s="308"/>
      <c r="F66" s="238"/>
      <c r="G66" s="238"/>
      <c r="I66" s="238"/>
      <c r="J66" s="238"/>
      <c r="K66" s="238"/>
      <c r="L66" s="238"/>
    </row>
    <row r="67" spans="1:21" ht="18" customHeight="1" thickBot="1" x14ac:dyDescent="0.4">
      <c r="A67" s="350" t="s">
        <v>152</v>
      </c>
      <c r="B67" s="461">
        <f>D60*20%/B60</f>
        <v>0.2267447682284485</v>
      </c>
      <c r="C67" s="462">
        <f>D60*80%/C60</f>
        <v>6.782478465818512</v>
      </c>
      <c r="D67" s="308"/>
      <c r="E67" s="308"/>
      <c r="F67" s="238"/>
      <c r="G67" s="238"/>
      <c r="I67" s="238"/>
      <c r="J67" s="238"/>
      <c r="K67" s="238"/>
      <c r="L67" s="238"/>
    </row>
    <row r="68" spans="1:21" s="308" customFormat="1" ht="13.15" thickBot="1" x14ac:dyDescent="0.4"/>
    <row r="69" spans="1:21" s="308" customFormat="1" ht="25.15" customHeight="1" x14ac:dyDescent="0.35">
      <c r="A69" s="646" t="s">
        <v>141</v>
      </c>
      <c r="B69" s="162" t="s">
        <v>214</v>
      </c>
      <c r="C69" s="162"/>
      <c r="D69" s="162"/>
      <c r="E69" s="162"/>
      <c r="F69" s="162"/>
      <c r="G69" s="162"/>
      <c r="H69" s="309" t="s">
        <v>215</v>
      </c>
      <c r="I69" s="309"/>
      <c r="J69" s="357"/>
      <c r="K69" s="357"/>
      <c r="L69" s="357"/>
      <c r="M69" s="310"/>
    </row>
    <row r="70" spans="1:21" s="308" customFormat="1" ht="25.15" customHeight="1" x14ac:dyDescent="0.35">
      <c r="A70" s="647"/>
      <c r="B70" s="164" t="s">
        <v>15</v>
      </c>
      <c r="C70" s="164" t="s">
        <v>16</v>
      </c>
      <c r="D70" s="164" t="s">
        <v>17</v>
      </c>
      <c r="E70" s="164" t="s">
        <v>18</v>
      </c>
      <c r="F70" s="164" t="s">
        <v>19</v>
      </c>
      <c r="G70" s="164" t="s">
        <v>20</v>
      </c>
      <c r="H70" s="164" t="s">
        <v>15</v>
      </c>
      <c r="I70" s="164" t="s">
        <v>16</v>
      </c>
      <c r="J70" s="164" t="s">
        <v>17</v>
      </c>
      <c r="K70" s="164" t="s">
        <v>18</v>
      </c>
      <c r="L70" s="164" t="s">
        <v>19</v>
      </c>
      <c r="M70" s="165" t="s">
        <v>20</v>
      </c>
    </row>
    <row r="71" spans="1:21" s="308" customFormat="1" ht="30" customHeight="1" x14ac:dyDescent="0.35">
      <c r="A71" s="347" t="s">
        <v>2</v>
      </c>
      <c r="B71" s="501">
        <f>ROUND($B$66*B53,6)</f>
        <v>1.137335</v>
      </c>
      <c r="C71" s="501">
        <f t="shared" ref="C71:G71" si="29">ROUND($B$66*C53,6)</f>
        <v>0.70020700000000002</v>
      </c>
      <c r="D71" s="501">
        <f t="shared" si="29"/>
        <v>0.53839000000000004</v>
      </c>
      <c r="E71" s="501">
        <f t="shared" si="29"/>
        <v>0.42710199999999998</v>
      </c>
      <c r="F71" s="501">
        <f t="shared" si="29"/>
        <v>1.7632999999999999E-2</v>
      </c>
      <c r="G71" s="501">
        <f t="shared" si="29"/>
        <v>1.7632999999999999E-2</v>
      </c>
      <c r="H71" s="482">
        <f>ROUND($C$66*H53,6)</f>
        <v>3.6656000000000001E-2</v>
      </c>
      <c r="I71" s="482">
        <f t="shared" ref="I71:M71" si="30">ROUND($C$66*I53,6)</f>
        <v>1.9033999999999999E-2</v>
      </c>
      <c r="J71" s="482">
        <f t="shared" si="30"/>
        <v>1.2226000000000001E-2</v>
      </c>
      <c r="K71" s="482">
        <f t="shared" si="30"/>
        <v>8.9289999999999994E-3</v>
      </c>
      <c r="L71" s="482">
        <f t="shared" si="30"/>
        <v>5.6899999999999995E-4</v>
      </c>
      <c r="M71" s="483">
        <f t="shared" si="30"/>
        <v>3.4699999999999998E-4</v>
      </c>
      <c r="O71" s="318"/>
      <c r="P71" s="317"/>
      <c r="Q71" s="317"/>
      <c r="R71" s="317"/>
      <c r="S71" s="317"/>
      <c r="T71" s="317"/>
      <c r="U71" s="311"/>
    </row>
    <row r="72" spans="1:21" s="308" customFormat="1" ht="30" customHeight="1" x14ac:dyDescent="0.35">
      <c r="A72" s="358" t="s">
        <v>145</v>
      </c>
      <c r="B72" s="502">
        <f>ROUND(B54*$B$67,6)</f>
        <v>3.5189729999999999</v>
      </c>
      <c r="C72" s="502">
        <f t="shared" ref="C72:G72" si="31">ROUND(C54*$B$67,6)</f>
        <v>2.190585</v>
      </c>
      <c r="D72" s="502">
        <f t="shared" si="31"/>
        <v>1.709932</v>
      </c>
      <c r="E72" s="502">
        <f t="shared" si="31"/>
        <v>1.35057</v>
      </c>
      <c r="F72" s="502">
        <f t="shared" si="31"/>
        <v>5.6011999999999999E-2</v>
      </c>
      <c r="G72" s="502">
        <f t="shared" si="31"/>
        <v>5.6011999999999999E-2</v>
      </c>
      <c r="H72" s="486">
        <f>ROUND($C$67*H54,6)</f>
        <v>0.113095</v>
      </c>
      <c r="I72" s="486">
        <f t="shared" ref="I72:M72" si="32">ROUND($C$67*I54,6)</f>
        <v>6.0787000000000001E-2</v>
      </c>
      <c r="J72" s="486">
        <f t="shared" si="32"/>
        <v>3.8330999999999997E-2</v>
      </c>
      <c r="K72" s="486">
        <f t="shared" si="32"/>
        <v>2.7826E-2</v>
      </c>
      <c r="L72" s="486">
        <f t="shared" si="32"/>
        <v>2.2030000000000001E-3</v>
      </c>
      <c r="M72" s="584">
        <f t="shared" si="32"/>
        <v>1.103E-3</v>
      </c>
      <c r="O72" s="318"/>
      <c r="P72" s="317"/>
      <c r="Q72" s="317"/>
      <c r="R72" s="317"/>
      <c r="S72" s="317"/>
      <c r="T72" s="317"/>
      <c r="U72" s="311"/>
    </row>
    <row r="73" spans="1:21" s="308" customFormat="1" ht="30" customHeight="1" thickBot="1" x14ac:dyDescent="0.4">
      <c r="A73" s="373" t="s">
        <v>149</v>
      </c>
      <c r="B73" s="503">
        <f>SUM(B71:B72)</f>
        <v>4.6563080000000001</v>
      </c>
      <c r="C73" s="503">
        <f>SUM(C71:C72)</f>
        <v>2.8907920000000003</v>
      </c>
      <c r="D73" s="503">
        <f t="shared" ref="D73" si="33">SUM(D71:D72)</f>
        <v>2.2483219999999999</v>
      </c>
      <c r="E73" s="503">
        <f t="shared" ref="E73" si="34">SUM(E71:E72)</f>
        <v>1.7776719999999999</v>
      </c>
      <c r="F73" s="503">
        <f t="shared" ref="F73" si="35">SUM(F71:F72)</f>
        <v>7.3645000000000002E-2</v>
      </c>
      <c r="G73" s="503">
        <f t="shared" ref="G73" si="36">SUM(G71:G72)</f>
        <v>7.3645000000000002E-2</v>
      </c>
      <c r="H73" s="484">
        <f>SUM(H71:H72)</f>
        <v>0.149751</v>
      </c>
      <c r="I73" s="484">
        <f t="shared" ref="I73" si="37">SUM(I71:I72)</f>
        <v>7.9821000000000003E-2</v>
      </c>
      <c r="J73" s="484">
        <f t="shared" ref="J73" si="38">SUM(J71:J72)</f>
        <v>5.0556999999999998E-2</v>
      </c>
      <c r="K73" s="484">
        <f t="shared" ref="K73" si="39">SUM(K71:K72)</f>
        <v>3.6754999999999996E-2</v>
      </c>
      <c r="L73" s="484">
        <f t="shared" ref="L73" si="40">SUM(L71:L72)</f>
        <v>2.7720000000000002E-3</v>
      </c>
      <c r="M73" s="485">
        <f t="shared" ref="M73" si="41">SUM(M71:M72)</f>
        <v>1.4499999999999999E-3</v>
      </c>
      <c r="O73" s="318"/>
      <c r="P73" s="318"/>
      <c r="Q73" s="317"/>
      <c r="R73" s="317"/>
      <c r="S73" s="317"/>
      <c r="T73" s="317"/>
      <c r="U73" s="311"/>
    </row>
    <row r="75" spans="1:21" x14ac:dyDescent="0.35">
      <c r="B75" s="372"/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</row>
  </sheetData>
  <mergeCells count="10">
    <mergeCell ref="A64:A65"/>
    <mergeCell ref="A69:A70"/>
    <mergeCell ref="A17:A18"/>
    <mergeCell ref="A51:A52"/>
    <mergeCell ref="A57:A58"/>
    <mergeCell ref="E57:E58"/>
    <mergeCell ref="A23:A24"/>
    <mergeCell ref="E23:E24"/>
    <mergeCell ref="A30:A31"/>
    <mergeCell ref="A35:A3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L72"/>
  <sheetViews>
    <sheetView showGridLines="0" topLeftCell="A59" workbookViewId="0">
      <selection activeCell="B13" sqref="B13"/>
    </sheetView>
  </sheetViews>
  <sheetFormatPr baseColWidth="10" defaultRowHeight="12.75" x14ac:dyDescent="0.35"/>
  <cols>
    <col min="1" max="1" width="21.3984375" customWidth="1"/>
    <col min="11" max="11" width="2.3984375" customWidth="1"/>
  </cols>
  <sheetData>
    <row r="1" spans="1:12" s="1" customFormat="1" x14ac:dyDescent="0.35"/>
    <row r="2" spans="1:12" s="1" customFormat="1" x14ac:dyDescent="0.35"/>
    <row r="3" spans="1:12" s="1" customFormat="1" x14ac:dyDescent="0.35"/>
    <row r="4" spans="1:12" s="1" customFormat="1" x14ac:dyDescent="0.35"/>
    <row r="5" spans="1:12" s="1" customFormat="1" x14ac:dyDescent="0.35"/>
    <row r="6" spans="1:12" s="4" customFormat="1" ht="30" customHeight="1" x14ac:dyDescent="0.35">
      <c r="A6" s="541" t="s">
        <v>233</v>
      </c>
      <c r="B6" s="368"/>
    </row>
    <row r="7" spans="1:12" ht="5.25" customHeight="1" x14ac:dyDescent="0.35"/>
    <row r="8" spans="1:12" s="379" customFormat="1" ht="15" x14ac:dyDescent="0.4">
      <c r="A8" s="384" t="s">
        <v>75</v>
      </c>
      <c r="B8" s="385"/>
      <c r="C8" s="385"/>
      <c r="D8" s="385"/>
      <c r="E8" s="385"/>
      <c r="F8" s="385"/>
      <c r="G8" s="385"/>
      <c r="H8" s="385"/>
      <c r="I8" s="385"/>
      <c r="J8" s="385"/>
    </row>
    <row r="9" spans="1:12" ht="13.15" thickBot="1" x14ac:dyDescent="0.4"/>
    <row r="10" spans="1:12" ht="27.75" customHeight="1" thickBot="1" x14ac:dyDescent="0.4">
      <c r="A10" s="1"/>
      <c r="B10" s="1"/>
      <c r="C10" s="423" t="s">
        <v>40</v>
      </c>
      <c r="D10" s="424"/>
      <c r="E10" s="424"/>
      <c r="F10" s="425"/>
      <c r="G10" s="1"/>
      <c r="H10" s="1"/>
      <c r="I10" s="1"/>
      <c r="J10" s="1"/>
    </row>
    <row r="11" spans="1:12" ht="26.65" thickBot="1" x14ac:dyDescent="0.4">
      <c r="A11" s="419" t="s">
        <v>50</v>
      </c>
      <c r="B11" s="420" t="s">
        <v>106</v>
      </c>
      <c r="C11" s="421" t="s">
        <v>69</v>
      </c>
      <c r="D11" s="421" t="s">
        <v>41</v>
      </c>
      <c r="E11" s="421" t="s">
        <v>42</v>
      </c>
      <c r="F11" s="421" t="s">
        <v>43</v>
      </c>
      <c r="G11" s="420" t="s">
        <v>44</v>
      </c>
      <c r="H11" s="420" t="s">
        <v>45</v>
      </c>
      <c r="I11" s="420" t="s">
        <v>9</v>
      </c>
      <c r="J11" s="422" t="s">
        <v>46</v>
      </c>
    </row>
    <row r="12" spans="1:12" x14ac:dyDescent="0.35">
      <c r="A12" s="426" t="s">
        <v>39</v>
      </c>
      <c r="B12" s="427">
        <v>29640.322722520199</v>
      </c>
      <c r="C12" s="427">
        <v>12907.946787844921</v>
      </c>
      <c r="D12" s="427">
        <v>7170.8535200642573</v>
      </c>
      <c r="E12" s="427">
        <v>7073.9074146110152</v>
      </c>
      <c r="F12" s="427">
        <v>0</v>
      </c>
      <c r="G12" s="427">
        <v>2103.5239999999994</v>
      </c>
      <c r="H12" s="428">
        <f>G12/$G$17</f>
        <v>5.6270381377827909E-2</v>
      </c>
      <c r="I12" s="427">
        <v>384.09100000000007</v>
      </c>
      <c r="J12" s="429">
        <f>SUM(B12:B12)/SUM(C12:G12)-1</f>
        <v>1.3128519203802647E-2</v>
      </c>
      <c r="L12" s="585"/>
    </row>
    <row r="13" spans="1:12" x14ac:dyDescent="0.35">
      <c r="A13" s="430" t="s">
        <v>38</v>
      </c>
      <c r="B13" s="431">
        <v>5261.8289999999997</v>
      </c>
      <c r="C13" s="431">
        <v>0</v>
      </c>
      <c r="D13" s="431">
        <v>5577.5025582367298</v>
      </c>
      <c r="E13" s="431">
        <v>11241.955632079442</v>
      </c>
      <c r="F13" s="431">
        <v>0</v>
      </c>
      <c r="G13" s="431">
        <v>1074.6640000000002</v>
      </c>
      <c r="H13" s="432">
        <f>G13/$G$17</f>
        <v>2.8747831321640296E-2</v>
      </c>
      <c r="I13" s="431">
        <v>275.6535975287515</v>
      </c>
      <c r="J13" s="433">
        <f>SUM(B13:B13,C17)/SUM(C13:G13)-1</f>
        <v>1.54047007501672E-2</v>
      </c>
      <c r="L13" s="585"/>
    </row>
    <row r="14" spans="1:12" x14ac:dyDescent="0.35">
      <c r="A14" s="430" t="s">
        <v>37</v>
      </c>
      <c r="B14" s="431">
        <v>5723.099617798287</v>
      </c>
      <c r="C14" s="431">
        <v>0</v>
      </c>
      <c r="D14" s="431">
        <v>0</v>
      </c>
      <c r="E14" s="431">
        <v>15354.90036384367</v>
      </c>
      <c r="F14" s="431">
        <v>4.7528100585746778</v>
      </c>
      <c r="G14" s="431">
        <v>2808.9490070695551</v>
      </c>
      <c r="H14" s="432">
        <f>G14/$G$17</f>
        <v>7.514087402790505E-2</v>
      </c>
      <c r="I14" s="431">
        <v>302.85351512747218</v>
      </c>
      <c r="J14" s="433">
        <f>SUM(B14:B14,D17)/SUM(C14:G14)-1</f>
        <v>1.666905973893007E-2</v>
      </c>
      <c r="L14" s="585"/>
    </row>
    <row r="15" spans="1:12" x14ac:dyDescent="0.35">
      <c r="A15" s="430" t="s">
        <v>36</v>
      </c>
      <c r="B15" s="431">
        <v>1317.9269990000003</v>
      </c>
      <c r="C15" s="431">
        <v>0</v>
      </c>
      <c r="D15" s="431">
        <v>0</v>
      </c>
      <c r="E15" s="431">
        <v>0</v>
      </c>
      <c r="F15" s="431">
        <v>24353.169324647431</v>
      </c>
      <c r="G15" s="431">
        <v>9500.6015730459458</v>
      </c>
      <c r="H15" s="432">
        <f>G15/$G$17</f>
        <v>0.25414612518520696</v>
      </c>
      <c r="I15" s="431">
        <v>1134.9195118407461</v>
      </c>
      <c r="J15" s="433">
        <f>SUM(B15:B15,E17)/SUM(C15:G15)-1</f>
        <v>3.352416826091531E-2</v>
      </c>
      <c r="L15" s="585"/>
    </row>
    <row r="16" spans="1:12" ht="13.15" thickBot="1" x14ac:dyDescent="0.4">
      <c r="A16" s="434" t="s">
        <v>49</v>
      </c>
      <c r="B16" s="435">
        <v>330.678</v>
      </c>
      <c r="C16" s="435">
        <v>0</v>
      </c>
      <c r="D16" s="435">
        <v>0</v>
      </c>
      <c r="E16" s="435">
        <v>0</v>
      </c>
      <c r="F16" s="435">
        <v>0</v>
      </c>
      <c r="G16" s="435">
        <v>21894.698654064083</v>
      </c>
      <c r="H16" s="436">
        <f>G16/$G$17</f>
        <v>0.58569478808741982</v>
      </c>
      <c r="I16" s="435">
        <v>2793.9014806419345</v>
      </c>
      <c r="J16" s="437">
        <f>SUM(B16:B16,F17)/SUM(C16:G16)-1</f>
        <v>0.12760629980734262</v>
      </c>
      <c r="L16" s="585"/>
    </row>
    <row r="17" spans="1:12" ht="13.5" thickBot="1" x14ac:dyDescent="0.4">
      <c r="A17" s="386" t="s">
        <v>4</v>
      </c>
      <c r="B17" s="438">
        <f t="shared" ref="B17:I17" si="0">SUM(B12:B16)</f>
        <v>42273.856339318489</v>
      </c>
      <c r="C17" s="438">
        <f t="shared" si="0"/>
        <v>12907.946787844921</v>
      </c>
      <c r="D17" s="438">
        <f t="shared" si="0"/>
        <v>12748.356078300987</v>
      </c>
      <c r="E17" s="438">
        <f t="shared" si="0"/>
        <v>33670.763410534128</v>
      </c>
      <c r="F17" s="438">
        <f t="shared" si="0"/>
        <v>24357.922134706005</v>
      </c>
      <c r="G17" s="438">
        <f t="shared" si="0"/>
        <v>37382.437234179582</v>
      </c>
      <c r="H17" s="439">
        <f>SUM(H12:H16)</f>
        <v>1</v>
      </c>
      <c r="I17" s="438">
        <f t="shared" si="0"/>
        <v>4891.4191051389043</v>
      </c>
      <c r="J17" s="440"/>
    </row>
    <row r="19" spans="1:12" s="379" customFormat="1" ht="15" x14ac:dyDescent="0.4">
      <c r="A19" s="384" t="s">
        <v>76</v>
      </c>
      <c r="B19" s="385"/>
      <c r="C19" s="385"/>
      <c r="D19" s="385"/>
      <c r="E19" s="385"/>
      <c r="F19" s="385"/>
      <c r="G19" s="385"/>
      <c r="H19" s="385"/>
      <c r="I19" s="385"/>
      <c r="J19" s="385"/>
    </row>
    <row r="20" spans="1:12" ht="13.15" thickBot="1" x14ac:dyDescent="0.4"/>
    <row r="21" spans="1:12" ht="27.75" customHeight="1" thickBot="1" x14ac:dyDescent="0.4">
      <c r="A21" s="1"/>
      <c r="B21" s="1"/>
      <c r="C21" s="423" t="s">
        <v>40</v>
      </c>
      <c r="D21" s="424"/>
      <c r="E21" s="424"/>
      <c r="F21" s="425"/>
      <c r="G21" s="1"/>
      <c r="H21" s="1"/>
      <c r="I21" s="1"/>
      <c r="J21" s="1"/>
    </row>
    <row r="22" spans="1:12" ht="26.65" thickBot="1" x14ac:dyDescent="0.4">
      <c r="A22" s="419" t="s">
        <v>50</v>
      </c>
      <c r="B22" s="420" t="s">
        <v>106</v>
      </c>
      <c r="C22" s="421" t="s">
        <v>69</v>
      </c>
      <c r="D22" s="421" t="s">
        <v>41</v>
      </c>
      <c r="E22" s="421" t="s">
        <v>42</v>
      </c>
      <c r="F22" s="421" t="s">
        <v>43</v>
      </c>
      <c r="G22" s="420" t="s">
        <v>44</v>
      </c>
      <c r="H22" s="420" t="s">
        <v>45</v>
      </c>
      <c r="I22" s="420" t="s">
        <v>9</v>
      </c>
      <c r="J22" s="422" t="s">
        <v>46</v>
      </c>
    </row>
    <row r="23" spans="1:12" x14ac:dyDescent="0.35">
      <c r="A23" s="426" t="s">
        <v>39</v>
      </c>
      <c r="B23" s="427">
        <v>30628.281722520205</v>
      </c>
      <c r="C23" s="427">
        <v>13630.801522034555</v>
      </c>
      <c r="D23" s="427">
        <v>7581.2423181913528</v>
      </c>
      <c r="E23" s="427">
        <v>7081.1748822943136</v>
      </c>
      <c r="F23" s="427">
        <v>0</v>
      </c>
      <c r="G23" s="427">
        <v>2030.2760000000001</v>
      </c>
      <c r="H23" s="428">
        <f>G23/$G$28</f>
        <v>5.5637724017221078E-2</v>
      </c>
      <c r="I23" s="427">
        <v>304.78700000000009</v>
      </c>
      <c r="J23" s="429">
        <f>SUM(B23:B23)/SUM(C23:G23)-1</f>
        <v>1.0051183176245981E-2</v>
      </c>
      <c r="L23" s="585"/>
    </row>
    <row r="24" spans="1:12" x14ac:dyDescent="0.35">
      <c r="A24" s="430" t="s">
        <v>38</v>
      </c>
      <c r="B24" s="431">
        <v>4092.3860000000004</v>
      </c>
      <c r="C24" s="431">
        <v>0</v>
      </c>
      <c r="D24" s="431">
        <v>5398.2982405344374</v>
      </c>
      <c r="E24" s="431">
        <v>11021.783214978557</v>
      </c>
      <c r="F24" s="431">
        <v>0</v>
      </c>
      <c r="G24" s="431">
        <v>1026.5370000000003</v>
      </c>
      <c r="H24" s="432">
        <f>G24/$G$28</f>
        <v>2.8131240432072335E-2</v>
      </c>
      <c r="I24" s="431">
        <v>276.56906652155908</v>
      </c>
      <c r="J24" s="433">
        <f>SUM(B24:B24,C28)/SUM(C24:G24)-1</f>
        <v>1.5852302108100735E-2</v>
      </c>
      <c r="L24" s="585"/>
    </row>
    <row r="25" spans="1:12" x14ac:dyDescent="0.35">
      <c r="A25" s="430" t="s">
        <v>37</v>
      </c>
      <c r="B25" s="431">
        <v>5065.9916177982877</v>
      </c>
      <c r="C25" s="431">
        <v>0</v>
      </c>
      <c r="D25" s="431">
        <v>0</v>
      </c>
      <c r="E25" s="431">
        <v>14995.755224402268</v>
      </c>
      <c r="F25" s="431">
        <v>4.5948914696901602</v>
      </c>
      <c r="G25" s="431">
        <v>2756.9523529456474</v>
      </c>
      <c r="H25" s="432">
        <f>G25/$G$28</f>
        <v>7.5551577293835034E-2</v>
      </c>
      <c r="I25" s="431">
        <v>288.22970770647225</v>
      </c>
      <c r="J25" s="433">
        <f>SUM(B25:B25,D28)/SUM(C25:G25)-1</f>
        <v>1.6231615596603577E-2</v>
      </c>
      <c r="L25" s="585"/>
    </row>
    <row r="26" spans="1:12" x14ac:dyDescent="0.35">
      <c r="A26" s="430" t="s">
        <v>36</v>
      </c>
      <c r="B26" s="431">
        <v>1100.984997</v>
      </c>
      <c r="C26" s="431">
        <v>0</v>
      </c>
      <c r="D26" s="431">
        <v>0</v>
      </c>
      <c r="E26" s="431">
        <v>0</v>
      </c>
      <c r="F26" s="431">
        <v>23972.354201564227</v>
      </c>
      <c r="G26" s="431">
        <v>9111.2553492560401</v>
      </c>
      <c r="H26" s="432">
        <f>G26/$G$28</f>
        <v>0.24968502340191029</v>
      </c>
      <c r="I26" s="431">
        <v>1116.0887678548711</v>
      </c>
      <c r="J26" s="433">
        <f>SUM(B26:B26,E28)/SUM(C26:G26)-1</f>
        <v>3.3735398978772979E-2</v>
      </c>
      <c r="L26" s="585"/>
    </row>
    <row r="27" spans="1:12" ht="13.15" thickBot="1" x14ac:dyDescent="0.4">
      <c r="A27" s="434" t="s">
        <v>49</v>
      </c>
      <c r="B27" s="435">
        <v>384.59700000000004</v>
      </c>
      <c r="C27" s="435">
        <v>0</v>
      </c>
      <c r="D27" s="435">
        <v>0</v>
      </c>
      <c r="E27" s="435">
        <v>0</v>
      </c>
      <c r="F27" s="435">
        <v>0</v>
      </c>
      <c r="G27" s="435">
        <v>21565.975934748909</v>
      </c>
      <c r="H27" s="436">
        <f>G27/$G$28</f>
        <v>0.59099443485496117</v>
      </c>
      <c r="I27" s="435">
        <v>2795.5701582849883</v>
      </c>
      <c r="J27" s="437">
        <f>SUM(B27:B27,F28)/SUM(C27:G27)-1</f>
        <v>0.12962873401803954</v>
      </c>
      <c r="L27" s="585"/>
    </row>
    <row r="28" spans="1:12" ht="13.5" thickBot="1" x14ac:dyDescent="0.4">
      <c r="A28" s="386" t="s">
        <v>4</v>
      </c>
      <c r="B28" s="438">
        <f t="shared" ref="B28:I28" si="1">SUM(B23:B27)</f>
        <v>41272.241337318497</v>
      </c>
      <c r="C28" s="438">
        <f t="shared" si="1"/>
        <v>13630.801522034555</v>
      </c>
      <c r="D28" s="438">
        <f t="shared" si="1"/>
        <v>12979.54055872579</v>
      </c>
      <c r="E28" s="438">
        <f t="shared" si="1"/>
        <v>33098.713321675139</v>
      </c>
      <c r="F28" s="438">
        <f t="shared" si="1"/>
        <v>23976.949093033916</v>
      </c>
      <c r="G28" s="438">
        <f t="shared" si="1"/>
        <v>36490.9966369506</v>
      </c>
      <c r="H28" s="439">
        <f t="shared" si="1"/>
        <v>0.99999999999999989</v>
      </c>
      <c r="I28" s="438">
        <f t="shared" si="1"/>
        <v>4781.2447003678908</v>
      </c>
      <c r="J28" s="440"/>
    </row>
    <row r="30" spans="1:12" s="379" customFormat="1" ht="15" x14ac:dyDescent="0.4">
      <c r="A30" s="384" t="s">
        <v>77</v>
      </c>
      <c r="B30" s="385"/>
      <c r="C30" s="385"/>
      <c r="D30" s="385"/>
      <c r="E30" s="385"/>
      <c r="F30" s="385"/>
      <c r="G30" s="385"/>
      <c r="H30" s="385"/>
      <c r="I30" s="385"/>
      <c r="J30" s="385"/>
    </row>
    <row r="31" spans="1:12" ht="13.15" thickBot="1" x14ac:dyDescent="0.4"/>
    <row r="32" spans="1:12" ht="27.75" customHeight="1" thickBot="1" x14ac:dyDescent="0.4">
      <c r="A32" s="1"/>
      <c r="B32" s="1"/>
      <c r="C32" s="423" t="s">
        <v>40</v>
      </c>
      <c r="D32" s="424"/>
      <c r="E32" s="424"/>
      <c r="F32" s="425"/>
      <c r="G32" s="1"/>
      <c r="H32" s="1"/>
      <c r="I32" s="1"/>
      <c r="J32" s="1"/>
    </row>
    <row r="33" spans="1:12" ht="26.65" thickBot="1" x14ac:dyDescent="0.4">
      <c r="A33" s="419" t="s">
        <v>50</v>
      </c>
      <c r="B33" s="420" t="s">
        <v>106</v>
      </c>
      <c r="C33" s="421" t="s">
        <v>69</v>
      </c>
      <c r="D33" s="421" t="s">
        <v>41</v>
      </c>
      <c r="E33" s="421" t="s">
        <v>42</v>
      </c>
      <c r="F33" s="421" t="s">
        <v>43</v>
      </c>
      <c r="G33" s="420" t="s">
        <v>44</v>
      </c>
      <c r="H33" s="420" t="s">
        <v>45</v>
      </c>
      <c r="I33" s="420" t="s">
        <v>9</v>
      </c>
      <c r="J33" s="422" t="s">
        <v>46</v>
      </c>
    </row>
    <row r="34" spans="1:12" x14ac:dyDescent="0.35">
      <c r="A34" s="426" t="s">
        <v>39</v>
      </c>
      <c r="B34" s="427">
        <v>22427.974722520201</v>
      </c>
      <c r="C34" s="427">
        <v>9461.2234809886377</v>
      </c>
      <c r="D34" s="427">
        <v>5160.3160736605778</v>
      </c>
      <c r="E34" s="427">
        <v>5507.7841678709819</v>
      </c>
      <c r="F34" s="427">
        <v>0</v>
      </c>
      <c r="G34" s="427">
        <v>2184.4130000000005</v>
      </c>
      <c r="H34" s="428">
        <f>G34/$G$39</f>
        <v>6.5431030703286971E-2</v>
      </c>
      <c r="I34" s="427">
        <v>114.23800000000003</v>
      </c>
      <c r="J34" s="429">
        <f>SUM(B34:B34)/SUM(C34:G34)-1</f>
        <v>5.1196265968627142E-3</v>
      </c>
      <c r="L34" s="585"/>
    </row>
    <row r="35" spans="1:12" x14ac:dyDescent="0.35">
      <c r="A35" s="430" t="s">
        <v>38</v>
      </c>
      <c r="B35" s="431">
        <v>4770.8599999999997</v>
      </c>
      <c r="C35" s="431">
        <v>0</v>
      </c>
      <c r="D35" s="431">
        <v>4193.7293271767494</v>
      </c>
      <c r="E35" s="431">
        <v>8608.1019412095502</v>
      </c>
      <c r="F35" s="431">
        <v>0</v>
      </c>
      <c r="G35" s="431">
        <v>1270.0819999999999</v>
      </c>
      <c r="H35" s="432">
        <f>G35/$G$39</f>
        <v>3.8043526722140959E-2</v>
      </c>
      <c r="I35" s="431">
        <v>160.17021260233753</v>
      </c>
      <c r="J35" s="433">
        <f>SUM(B35:B35,C39)/SUM(C35:G35)-1</f>
        <v>1.1382262635328377E-2</v>
      </c>
      <c r="L35" s="585"/>
    </row>
    <row r="36" spans="1:12" x14ac:dyDescent="0.35">
      <c r="A36" s="430" t="s">
        <v>37</v>
      </c>
      <c r="B36" s="431">
        <v>5555.4386177982888</v>
      </c>
      <c r="C36" s="431">
        <v>0</v>
      </c>
      <c r="D36" s="431">
        <v>0</v>
      </c>
      <c r="E36" s="431">
        <v>11677.045852423998</v>
      </c>
      <c r="F36" s="431">
        <v>3.7641052329366254</v>
      </c>
      <c r="G36" s="431">
        <v>3023.2530000000002</v>
      </c>
      <c r="H36" s="432">
        <f>G36/$G$39</f>
        <v>9.0557307554388483E-2</v>
      </c>
      <c r="I36" s="431">
        <v>205.42106097867796</v>
      </c>
      <c r="J36" s="433">
        <f>SUM(B36:B36,D39)/SUM(C36:G36)-1</f>
        <v>1.3970360543900551E-2</v>
      </c>
      <c r="L36" s="585"/>
    </row>
    <row r="37" spans="1:12" x14ac:dyDescent="0.35">
      <c r="A37" s="430" t="s">
        <v>36</v>
      </c>
      <c r="B37" s="431">
        <v>1860.1999989999997</v>
      </c>
      <c r="C37" s="431">
        <v>0</v>
      </c>
      <c r="D37" s="431">
        <v>0</v>
      </c>
      <c r="E37" s="431">
        <v>0</v>
      </c>
      <c r="F37" s="431">
        <v>16061.305292283778</v>
      </c>
      <c r="G37" s="431">
        <v>10964.898000000001</v>
      </c>
      <c r="H37" s="432">
        <f>G37/$G$39</f>
        <v>0.32843815601555648</v>
      </c>
      <c r="I37" s="431">
        <v>626.92566822075673</v>
      </c>
      <c r="J37" s="433">
        <f>SUM(B37:B37,E39)/SUM(C37:G37)-1</f>
        <v>2.3197067728701226E-2</v>
      </c>
      <c r="L37" s="585"/>
    </row>
    <row r="38" spans="1:12" ht="13.15" thickBot="1" x14ac:dyDescent="0.4">
      <c r="A38" s="434" t="s">
        <v>49</v>
      </c>
      <c r="B38" s="435">
        <v>1414.057</v>
      </c>
      <c r="C38" s="435">
        <v>0</v>
      </c>
      <c r="D38" s="435">
        <v>0</v>
      </c>
      <c r="E38" s="435">
        <v>0</v>
      </c>
      <c r="F38" s="435">
        <v>0</v>
      </c>
      <c r="G38" s="435">
        <v>15942.324044347248</v>
      </c>
      <c r="H38" s="436">
        <f>G38/$G$39</f>
        <v>0.47752997900462718</v>
      </c>
      <c r="I38" s="435">
        <v>1536.8023531694657</v>
      </c>
      <c r="J38" s="437">
        <f>SUM(B38:B38,F39)/SUM(C38:G38)-1</f>
        <v>9.639763618494368E-2</v>
      </c>
      <c r="L38" s="585"/>
    </row>
    <row r="39" spans="1:12" ht="13.5" thickBot="1" x14ac:dyDescent="0.4">
      <c r="A39" s="386" t="s">
        <v>4</v>
      </c>
      <c r="B39" s="438">
        <f t="shared" ref="B39:I39" si="2">SUM(B34:B38)</f>
        <v>36028.530339318488</v>
      </c>
      <c r="C39" s="438">
        <f t="shared" si="2"/>
        <v>9461.2234809886377</v>
      </c>
      <c r="D39" s="438">
        <f t="shared" si="2"/>
        <v>9354.0454008373272</v>
      </c>
      <c r="E39" s="438">
        <f t="shared" si="2"/>
        <v>25792.931961504532</v>
      </c>
      <c r="F39" s="438">
        <f t="shared" si="2"/>
        <v>16065.069397516714</v>
      </c>
      <c r="G39" s="438">
        <f t="shared" si="2"/>
        <v>33384.970044347247</v>
      </c>
      <c r="H39" s="439">
        <f t="shared" si="2"/>
        <v>1</v>
      </c>
      <c r="I39" s="438">
        <f t="shared" si="2"/>
        <v>2643.5572949712378</v>
      </c>
      <c r="J39" s="440"/>
    </row>
    <row r="41" spans="1:12" s="379" customFormat="1" ht="15" x14ac:dyDescent="0.4">
      <c r="A41" s="384" t="s">
        <v>78</v>
      </c>
      <c r="B41" s="385"/>
      <c r="C41" s="385"/>
      <c r="D41" s="385"/>
      <c r="E41" s="385"/>
      <c r="F41" s="385"/>
      <c r="G41" s="385"/>
      <c r="H41" s="385"/>
      <c r="I41" s="385"/>
      <c r="J41" s="385"/>
    </row>
    <row r="42" spans="1:12" ht="13.15" thickBot="1" x14ac:dyDescent="0.4"/>
    <row r="43" spans="1:12" ht="27.75" customHeight="1" thickBot="1" x14ac:dyDescent="0.4">
      <c r="A43" s="1"/>
      <c r="B43" s="1"/>
      <c r="C43" s="423" t="s">
        <v>40</v>
      </c>
      <c r="D43" s="424"/>
      <c r="E43" s="424"/>
      <c r="F43" s="425"/>
      <c r="G43" s="1"/>
      <c r="H43" s="1"/>
      <c r="I43" s="1"/>
      <c r="J43" s="1"/>
    </row>
    <row r="44" spans="1:12" ht="26.65" thickBot="1" x14ac:dyDescent="0.4">
      <c r="A44" s="419" t="s">
        <v>50</v>
      </c>
      <c r="B44" s="420" t="s">
        <v>106</v>
      </c>
      <c r="C44" s="421" t="s">
        <v>69</v>
      </c>
      <c r="D44" s="421" t="s">
        <v>41</v>
      </c>
      <c r="E44" s="421" t="s">
        <v>42</v>
      </c>
      <c r="F44" s="421" t="s">
        <v>43</v>
      </c>
      <c r="G44" s="420" t="s">
        <v>44</v>
      </c>
      <c r="H44" s="420" t="s">
        <v>45</v>
      </c>
      <c r="I44" s="420" t="s">
        <v>9</v>
      </c>
      <c r="J44" s="422" t="s">
        <v>46</v>
      </c>
    </row>
    <row r="45" spans="1:12" x14ac:dyDescent="0.35">
      <c r="A45" s="426" t="s">
        <v>39</v>
      </c>
      <c r="B45" s="427">
        <v>21920.811722520211</v>
      </c>
      <c r="C45" s="427">
        <v>8962.0179711703568</v>
      </c>
      <c r="D45" s="427">
        <v>4977.5341249525809</v>
      </c>
      <c r="E45" s="427">
        <v>5486.5856263972646</v>
      </c>
      <c r="F45" s="427">
        <v>0</v>
      </c>
      <c r="G45" s="427">
        <v>2379.3859999999995</v>
      </c>
      <c r="H45" s="428">
        <f>G45/$G$50</f>
        <v>7.1768985977467684E-2</v>
      </c>
      <c r="I45" s="427">
        <v>115.28800000000007</v>
      </c>
      <c r="J45" s="429">
        <f>SUM(B45:B45)/SUM(C45:G45)-1</f>
        <v>5.287100712052295E-3</v>
      </c>
      <c r="L45" s="585"/>
    </row>
    <row r="46" spans="1:12" x14ac:dyDescent="0.35">
      <c r="A46" s="430" t="s">
        <v>38</v>
      </c>
      <c r="B46" s="431">
        <v>5121.7710000000006</v>
      </c>
      <c r="C46" s="431">
        <v>0</v>
      </c>
      <c r="D46" s="431">
        <v>4138.2089954020657</v>
      </c>
      <c r="E46" s="431">
        <v>8518.8016162336662</v>
      </c>
      <c r="F46" s="431">
        <v>0</v>
      </c>
      <c r="G46" s="431">
        <v>1262.3799999999999</v>
      </c>
      <c r="H46" s="432">
        <f>G46/$G$50</f>
        <v>3.8076937713441894E-2</v>
      </c>
      <c r="I46" s="431">
        <v>164.39835953462864</v>
      </c>
      <c r="J46" s="433">
        <f>SUM(B46:B46,C50)/SUM(C46:G46)-1</f>
        <v>1.1810744027630049E-2</v>
      </c>
      <c r="L46" s="585"/>
    </row>
    <row r="47" spans="1:12" x14ac:dyDescent="0.35">
      <c r="A47" s="430" t="s">
        <v>37</v>
      </c>
      <c r="B47" s="431">
        <v>5499.943617798288</v>
      </c>
      <c r="C47" s="431">
        <v>0</v>
      </c>
      <c r="D47" s="431">
        <v>0</v>
      </c>
      <c r="E47" s="431">
        <v>11407.849690003348</v>
      </c>
      <c r="F47" s="431">
        <v>3.6969817812652663</v>
      </c>
      <c r="G47" s="431">
        <v>2989.1149999999998</v>
      </c>
      <c r="H47" s="432">
        <f>G47/$G$50</f>
        <v>9.0160130605138611E-2</v>
      </c>
      <c r="I47" s="431">
        <v>215.02506636832243</v>
      </c>
      <c r="J47" s="433">
        <f>SUM(B47:B47,D50)/SUM(C47:G47)-1</f>
        <v>1.4931610176609045E-2</v>
      </c>
      <c r="L47" s="585"/>
    </row>
    <row r="48" spans="1:12" x14ac:dyDescent="0.35">
      <c r="A48" s="430" t="s">
        <v>36</v>
      </c>
      <c r="B48" s="431">
        <v>1859.5059969999998</v>
      </c>
      <c r="C48" s="431">
        <v>0</v>
      </c>
      <c r="D48" s="431">
        <v>0</v>
      </c>
      <c r="E48" s="431">
        <v>0</v>
      </c>
      <c r="F48" s="431">
        <v>15941.846125085924</v>
      </c>
      <c r="G48" s="431">
        <v>10710.447999999999</v>
      </c>
      <c r="H48" s="432">
        <f>G48/$G$50</f>
        <v>0.32305728970599845</v>
      </c>
      <c r="I48" s="431">
        <v>620.44580454835136</v>
      </c>
      <c r="J48" s="433">
        <f>SUM(B48:B48,E50)/SUM(C48:G48)-1</f>
        <v>2.3279377063619267E-2</v>
      </c>
      <c r="L48" s="585"/>
    </row>
    <row r="49" spans="1:12" ht="13.15" thickBot="1" x14ac:dyDescent="0.4">
      <c r="A49" s="434" t="s">
        <v>49</v>
      </c>
      <c r="B49" s="435">
        <v>1427.884</v>
      </c>
      <c r="C49" s="435">
        <v>0</v>
      </c>
      <c r="D49" s="435">
        <v>0</v>
      </c>
      <c r="E49" s="435">
        <v>0</v>
      </c>
      <c r="F49" s="435">
        <v>0</v>
      </c>
      <c r="G49" s="435">
        <v>15812.072397464673</v>
      </c>
      <c r="H49" s="436">
        <f>G49/$G$50</f>
        <v>0.47693665599795332</v>
      </c>
      <c r="I49" s="435">
        <v>1561.354709402525</v>
      </c>
      <c r="J49" s="437">
        <f>SUM(B49:B49,F50)/SUM(C49:G49)-1</f>
        <v>9.8744470057755551E-2</v>
      </c>
      <c r="L49" s="585"/>
    </row>
    <row r="50" spans="1:12" ht="13.5" thickBot="1" x14ac:dyDescent="0.4">
      <c r="A50" s="386" t="s">
        <v>4</v>
      </c>
      <c r="B50" s="438">
        <f t="shared" ref="B50:I50" si="3">SUM(B45:B49)</f>
        <v>35829.9163373185</v>
      </c>
      <c r="C50" s="438">
        <f t="shared" si="3"/>
        <v>8962.0179711703568</v>
      </c>
      <c r="D50" s="438">
        <f t="shared" si="3"/>
        <v>9115.7431203546475</v>
      </c>
      <c r="E50" s="438">
        <f t="shared" si="3"/>
        <v>25413.236932634281</v>
      </c>
      <c r="F50" s="438">
        <f t="shared" si="3"/>
        <v>15945.54310686719</v>
      </c>
      <c r="G50" s="438">
        <f t="shared" si="3"/>
        <v>33153.401397464673</v>
      </c>
      <c r="H50" s="439">
        <f t="shared" si="3"/>
        <v>1</v>
      </c>
      <c r="I50" s="438">
        <f t="shared" si="3"/>
        <v>2676.5119398538272</v>
      </c>
      <c r="J50" s="440"/>
    </row>
    <row r="52" spans="1:12" s="379" customFormat="1" ht="15" x14ac:dyDescent="0.4">
      <c r="A52" s="384" t="s">
        <v>79</v>
      </c>
      <c r="B52" s="385"/>
      <c r="C52" s="385"/>
      <c r="D52" s="385"/>
      <c r="E52" s="385"/>
      <c r="F52" s="385"/>
      <c r="G52" s="385"/>
      <c r="H52" s="385"/>
      <c r="I52" s="385"/>
      <c r="J52" s="385"/>
    </row>
    <row r="53" spans="1:12" ht="13.15" thickBot="1" x14ac:dyDescent="0.4"/>
    <row r="54" spans="1:12" ht="27.75" customHeight="1" thickBot="1" x14ac:dyDescent="0.4">
      <c r="A54" s="1"/>
      <c r="B54" s="1"/>
      <c r="C54" s="423" t="s">
        <v>40</v>
      </c>
      <c r="D54" s="424"/>
      <c r="E54" s="424"/>
      <c r="F54" s="425"/>
      <c r="G54" s="1"/>
      <c r="H54" s="1"/>
      <c r="I54" s="1"/>
      <c r="J54" s="1"/>
    </row>
    <row r="55" spans="1:12" ht="26.65" thickBot="1" x14ac:dyDescent="0.4">
      <c r="A55" s="419" t="s">
        <v>50</v>
      </c>
      <c r="B55" s="420" t="s">
        <v>106</v>
      </c>
      <c r="C55" s="421" t="s">
        <v>69</v>
      </c>
      <c r="D55" s="421" t="s">
        <v>41</v>
      </c>
      <c r="E55" s="421" t="s">
        <v>42</v>
      </c>
      <c r="F55" s="421" t="s">
        <v>43</v>
      </c>
      <c r="G55" s="420" t="s">
        <v>44</v>
      </c>
      <c r="H55" s="420" t="s">
        <v>45</v>
      </c>
      <c r="I55" s="420" t="s">
        <v>9</v>
      </c>
      <c r="J55" s="422" t="s">
        <v>46</v>
      </c>
    </row>
    <row r="56" spans="1:12" x14ac:dyDescent="0.35">
      <c r="A56" s="426" t="s">
        <v>39</v>
      </c>
      <c r="B56" s="427">
        <v>21140.301722520213</v>
      </c>
      <c r="C56" s="427">
        <v>8880.302404134989</v>
      </c>
      <c r="D56" s="427">
        <v>4829.110994386323</v>
      </c>
      <c r="E56" s="427">
        <v>4772.4143239988989</v>
      </c>
      <c r="F56" s="427">
        <v>0</v>
      </c>
      <c r="G56" s="427">
        <v>2501.4940000000001</v>
      </c>
      <c r="H56" s="428">
        <f>G56/$G$61</f>
        <v>8.4970213473687911E-2</v>
      </c>
      <c r="I56" s="427">
        <v>156.98000000000005</v>
      </c>
      <c r="J56" s="429">
        <f>SUM(B56:B56)/SUM(C56:G56)-1</f>
        <v>7.4811796757385807E-3</v>
      </c>
      <c r="L56" s="585"/>
    </row>
    <row r="57" spans="1:12" x14ac:dyDescent="0.35">
      <c r="A57" s="430" t="s">
        <v>38</v>
      </c>
      <c r="B57" s="431">
        <v>3404.5410000000002</v>
      </c>
      <c r="C57" s="431">
        <v>0</v>
      </c>
      <c r="D57" s="431">
        <v>3675.5948266470996</v>
      </c>
      <c r="E57" s="431">
        <v>7279.5117605304813</v>
      </c>
      <c r="F57" s="431">
        <v>0</v>
      </c>
      <c r="G57" s="431">
        <v>1149.7080000000001</v>
      </c>
      <c r="H57" s="432">
        <f>G57/$G$61</f>
        <v>3.9053035582898375E-2</v>
      </c>
      <c r="I57" s="431">
        <v>180.02881695740791</v>
      </c>
      <c r="J57" s="433">
        <f>SUM(B57:B57,C61)/SUM(C57:G57)-1</f>
        <v>1.4872496861547235E-2</v>
      </c>
      <c r="L57" s="585"/>
    </row>
    <row r="58" spans="1:12" x14ac:dyDescent="0.35">
      <c r="A58" s="430" t="s">
        <v>37</v>
      </c>
      <c r="B58" s="431">
        <v>5021.0476177982882</v>
      </c>
      <c r="C58" s="431">
        <v>0</v>
      </c>
      <c r="D58" s="431">
        <v>0</v>
      </c>
      <c r="E58" s="431">
        <v>10611.723616541447</v>
      </c>
      <c r="F58" s="431">
        <v>3.198993429993934</v>
      </c>
      <c r="G58" s="431">
        <v>2710.3289093880653</v>
      </c>
      <c r="H58" s="432">
        <f>G58/$G$61</f>
        <v>9.2063873035318752E-2</v>
      </c>
      <c r="I58" s="431">
        <v>200.50191947220392</v>
      </c>
      <c r="J58" s="433">
        <f>SUM(B58:B58,D61)/SUM(C58:G58)-1</f>
        <v>1.5046764346692276E-2</v>
      </c>
      <c r="L58" s="585"/>
    </row>
    <row r="59" spans="1:12" x14ac:dyDescent="0.35">
      <c r="A59" s="430" t="s">
        <v>36</v>
      </c>
      <c r="B59" s="431">
        <v>1666.7560000000001</v>
      </c>
      <c r="C59" s="431">
        <v>0</v>
      </c>
      <c r="D59" s="431">
        <v>0</v>
      </c>
      <c r="E59" s="431">
        <v>0</v>
      </c>
      <c r="F59" s="431">
        <v>15046.698924170687</v>
      </c>
      <c r="G59" s="431">
        <v>8656.8839163471512</v>
      </c>
      <c r="H59" s="432">
        <f>G59/$G$61</f>
        <v>0.29405518237859168</v>
      </c>
      <c r="I59" s="431">
        <v>626.82286055298766</v>
      </c>
      <c r="J59" s="433">
        <f>SUM(B59:B59,E61)/SUM(C59:G59)-1</f>
        <v>2.6444224266448213E-2</v>
      </c>
      <c r="L59" s="585"/>
    </row>
    <row r="60" spans="1:12" ht="13.15" thickBot="1" x14ac:dyDescent="0.4">
      <c r="A60" s="434" t="s">
        <v>49</v>
      </c>
      <c r="B60" s="435">
        <v>973.23500000000001</v>
      </c>
      <c r="C60" s="435">
        <v>0</v>
      </c>
      <c r="D60" s="435">
        <v>0</v>
      </c>
      <c r="E60" s="435">
        <v>0</v>
      </c>
      <c r="F60" s="435">
        <v>0</v>
      </c>
      <c r="G60" s="435">
        <v>14421.242881781534</v>
      </c>
      <c r="H60" s="436">
        <f>G60/$G$61</f>
        <v>0.48985769552950326</v>
      </c>
      <c r="I60" s="435">
        <v>1601.8900358191463</v>
      </c>
      <c r="J60" s="437">
        <f>SUM(B60:B60,F61)/SUM(C60:G60)-1</f>
        <v>0.11107850058075286</v>
      </c>
      <c r="L60" s="585"/>
    </row>
    <row r="61" spans="1:12" ht="13.5" thickBot="1" x14ac:dyDescent="0.4">
      <c r="A61" s="386" t="s">
        <v>4</v>
      </c>
      <c r="B61" s="438">
        <f t="shared" ref="B61:I61" si="4">SUM(B56:B60)</f>
        <v>32205.881340318505</v>
      </c>
      <c r="C61" s="438">
        <f t="shared" si="4"/>
        <v>8880.302404134989</v>
      </c>
      <c r="D61" s="438">
        <f t="shared" si="4"/>
        <v>8504.7058210334217</v>
      </c>
      <c r="E61" s="438">
        <f t="shared" si="4"/>
        <v>22663.649701070826</v>
      </c>
      <c r="F61" s="438">
        <f t="shared" si="4"/>
        <v>15049.897917600681</v>
      </c>
      <c r="G61" s="438">
        <f t="shared" si="4"/>
        <v>29439.657707516752</v>
      </c>
      <c r="H61" s="439">
        <f t="shared" si="4"/>
        <v>1</v>
      </c>
      <c r="I61" s="438">
        <f t="shared" si="4"/>
        <v>2766.2236328017457</v>
      </c>
      <c r="J61" s="440"/>
    </row>
    <row r="63" spans="1:12" s="379" customFormat="1" ht="15" x14ac:dyDescent="0.4">
      <c r="A63" s="384" t="s">
        <v>80</v>
      </c>
      <c r="B63" s="385"/>
      <c r="C63" s="385"/>
      <c r="D63" s="385"/>
      <c r="E63" s="385"/>
      <c r="F63" s="385"/>
      <c r="G63" s="385"/>
      <c r="H63" s="385"/>
      <c r="I63" s="385"/>
      <c r="J63" s="385"/>
    </row>
    <row r="64" spans="1:12" ht="13.15" thickBot="1" x14ac:dyDescent="0.4"/>
    <row r="65" spans="1:12" ht="27.75" customHeight="1" thickBot="1" x14ac:dyDescent="0.4">
      <c r="A65" s="1"/>
      <c r="B65" s="1"/>
      <c r="C65" s="423" t="s">
        <v>40</v>
      </c>
      <c r="D65" s="424"/>
      <c r="E65" s="424"/>
      <c r="F65" s="425"/>
      <c r="G65" s="1"/>
      <c r="H65" s="1"/>
      <c r="I65" s="1"/>
      <c r="J65" s="1"/>
    </row>
    <row r="66" spans="1:12" ht="26.65" thickBot="1" x14ac:dyDescent="0.4">
      <c r="A66" s="419" t="s">
        <v>50</v>
      </c>
      <c r="B66" s="420" t="s">
        <v>106</v>
      </c>
      <c r="C66" s="421" t="s">
        <v>69</v>
      </c>
      <c r="D66" s="421" t="s">
        <v>41</v>
      </c>
      <c r="E66" s="421" t="s">
        <v>42</v>
      </c>
      <c r="F66" s="421" t="s">
        <v>43</v>
      </c>
      <c r="G66" s="420" t="s">
        <v>44</v>
      </c>
      <c r="H66" s="420" t="s">
        <v>45</v>
      </c>
      <c r="I66" s="420" t="s">
        <v>9</v>
      </c>
      <c r="J66" s="422" t="s">
        <v>46</v>
      </c>
    </row>
    <row r="67" spans="1:12" x14ac:dyDescent="0.35">
      <c r="A67" s="426" t="s">
        <v>39</v>
      </c>
      <c r="B67" s="427">
        <v>24017.985722520196</v>
      </c>
      <c r="C67" s="427">
        <v>10435.200134917162</v>
      </c>
      <c r="D67" s="427">
        <v>5135.3929729956517</v>
      </c>
      <c r="E67" s="427">
        <v>5785.4396146073841</v>
      </c>
      <c r="F67" s="427">
        <v>0</v>
      </c>
      <c r="G67" s="427">
        <v>2204.3790000000004</v>
      </c>
      <c r="H67" s="428">
        <f>G67/$G$72</f>
        <v>7.0566908068777939E-2</v>
      </c>
      <c r="I67" s="427">
        <v>457.57400000000001</v>
      </c>
      <c r="J67" s="429">
        <f>SUM(B67:B67)/SUM(C67:G67)-1</f>
        <v>1.9421307462238691E-2</v>
      </c>
      <c r="L67" s="585"/>
    </row>
    <row r="68" spans="1:12" x14ac:dyDescent="0.35">
      <c r="A68" s="430" t="s">
        <v>38</v>
      </c>
      <c r="B68" s="431">
        <v>5575.3039999999992</v>
      </c>
      <c r="C68" s="431">
        <v>0</v>
      </c>
      <c r="D68" s="431">
        <v>4886.0070723409171</v>
      </c>
      <c r="E68" s="431">
        <v>9818.862875814757</v>
      </c>
      <c r="F68" s="431">
        <v>0</v>
      </c>
      <c r="G68" s="431">
        <v>1039.548</v>
      </c>
      <c r="H68" s="432">
        <f>G68/$G$72</f>
        <v>3.3278165029281243E-2</v>
      </c>
      <c r="I68" s="431">
        <v>266.08618676149024</v>
      </c>
      <c r="J68" s="433">
        <f>SUM(B68:B68,C72)/SUM(C68:G68)-1</f>
        <v>1.6900350818790155E-2</v>
      </c>
      <c r="L68" s="585"/>
    </row>
    <row r="69" spans="1:12" x14ac:dyDescent="0.35">
      <c r="A69" s="430" t="s">
        <v>37</v>
      </c>
      <c r="B69" s="431">
        <v>5608.537617798288</v>
      </c>
      <c r="C69" s="431">
        <v>0</v>
      </c>
      <c r="D69" s="431">
        <v>0</v>
      </c>
      <c r="E69" s="431">
        <v>13265.283293606755</v>
      </c>
      <c r="F69" s="431">
        <v>3.8346019941998359</v>
      </c>
      <c r="G69" s="431">
        <v>2079.289700950209</v>
      </c>
      <c r="H69" s="432">
        <f>G69/$G$72</f>
        <v>6.6562530842160142E-2</v>
      </c>
      <c r="I69" s="431">
        <v>281.53006658369253</v>
      </c>
      <c r="J69" s="433">
        <f>SUM(B69:B69,D72)/SUM(C69:G69)-1</f>
        <v>1.8342623807238168E-2</v>
      </c>
      <c r="L69" s="585"/>
    </row>
    <row r="70" spans="1:12" x14ac:dyDescent="0.35">
      <c r="A70" s="430" t="s">
        <v>36</v>
      </c>
      <c r="B70" s="431">
        <v>908.97200099999986</v>
      </c>
      <c r="C70" s="431">
        <v>0</v>
      </c>
      <c r="D70" s="431">
        <v>0</v>
      </c>
      <c r="E70" s="431">
        <v>0</v>
      </c>
      <c r="F70" s="431">
        <v>23140.148570418576</v>
      </c>
      <c r="G70" s="431">
        <v>5569.1562115445022</v>
      </c>
      <c r="H70" s="432">
        <f>G70/$G$72</f>
        <v>0.17828065609440319</v>
      </c>
      <c r="I70" s="431">
        <v>1069.2510030658193</v>
      </c>
      <c r="J70" s="433">
        <f>SUM(B70:B70,E72)/SUM(C70:G70)-1</f>
        <v>3.7244127337335842E-2</v>
      </c>
      <c r="L70" s="585"/>
    </row>
    <row r="71" spans="1:12" ht="13.15" thickBot="1" x14ac:dyDescent="0.4">
      <c r="A71" s="434" t="s">
        <v>49</v>
      </c>
      <c r="B71" s="435">
        <v>2.1459999999999999</v>
      </c>
      <c r="C71" s="435">
        <v>0</v>
      </c>
      <c r="D71" s="435">
        <v>0</v>
      </c>
      <c r="E71" s="435">
        <v>0</v>
      </c>
      <c r="F71" s="435">
        <v>0</v>
      </c>
      <c r="G71" s="435">
        <v>20345.767744759331</v>
      </c>
      <c r="H71" s="436">
        <f>G71/$G$72</f>
        <v>0.65131173996537739</v>
      </c>
      <c r="I71" s="435">
        <v>2800.3614276534427</v>
      </c>
      <c r="J71" s="437">
        <f>SUM(B71:B71,F72)/SUM(C71:G71)-1</f>
        <v>0.13763852329311899</v>
      </c>
      <c r="L71" s="585"/>
    </row>
    <row r="72" spans="1:12" ht="13.5" thickBot="1" x14ac:dyDescent="0.4">
      <c r="A72" s="386" t="s">
        <v>4</v>
      </c>
      <c r="B72" s="438">
        <f t="shared" ref="B72:I72" si="5">SUM(B67:B71)</f>
        <v>36112.945341318489</v>
      </c>
      <c r="C72" s="438">
        <f t="shared" si="5"/>
        <v>10435.200134917162</v>
      </c>
      <c r="D72" s="438">
        <f t="shared" si="5"/>
        <v>10021.40004533657</v>
      </c>
      <c r="E72" s="438">
        <f t="shared" si="5"/>
        <v>28869.585784028895</v>
      </c>
      <c r="F72" s="438">
        <f t="shared" si="5"/>
        <v>23143.983172412776</v>
      </c>
      <c r="G72" s="438">
        <f t="shared" si="5"/>
        <v>31238.140657254044</v>
      </c>
      <c r="H72" s="439">
        <f t="shared" si="5"/>
        <v>0.99999999999999989</v>
      </c>
      <c r="I72" s="438">
        <f t="shared" si="5"/>
        <v>4874.8026840644452</v>
      </c>
      <c r="J72" s="440"/>
    </row>
  </sheetData>
  <pageMargins left="0.7" right="0.7" top="0.75" bottom="0.75" header="0.3" footer="0.3"/>
  <pageSetup paperSize="9" scale="62" orientation="portrait" verticalDpi="0" r:id="rId1"/>
  <headerFooter>
    <oddFooter>&amp;C_x000D_&amp;1#&amp;"Calibri"&amp;10&amp;K000000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1:L72"/>
  <sheetViews>
    <sheetView showGridLines="0" topLeftCell="A64" workbookViewId="0">
      <selection activeCell="B14" sqref="B14"/>
    </sheetView>
  </sheetViews>
  <sheetFormatPr baseColWidth="10" defaultRowHeight="12.75" x14ac:dyDescent="0.35"/>
  <cols>
    <col min="1" max="1" width="21.3984375" customWidth="1"/>
    <col min="11" max="11" width="2.73046875" customWidth="1"/>
  </cols>
  <sheetData>
    <row r="1" spans="1:12" x14ac:dyDescent="0.35">
      <c r="L1" s="1"/>
    </row>
    <row r="2" spans="1:12" x14ac:dyDescent="0.35">
      <c r="L2" s="1"/>
    </row>
    <row r="3" spans="1:12" x14ac:dyDescent="0.35">
      <c r="L3" s="1"/>
    </row>
    <row r="4" spans="1:12" x14ac:dyDescent="0.35">
      <c r="L4" s="1"/>
    </row>
    <row r="5" spans="1:12" x14ac:dyDescent="0.35">
      <c r="L5" s="1"/>
    </row>
    <row r="6" spans="1:12" s="4" customFormat="1" ht="30" customHeight="1" x14ac:dyDescent="0.35">
      <c r="A6" s="541" t="s">
        <v>234</v>
      </c>
      <c r="B6" s="368"/>
    </row>
    <row r="7" spans="1:12" ht="5.25" customHeight="1" x14ac:dyDescent="0.35"/>
    <row r="8" spans="1:12" s="379" customFormat="1" ht="15" x14ac:dyDescent="0.4">
      <c r="A8" s="384" t="s">
        <v>47</v>
      </c>
      <c r="B8" s="385"/>
      <c r="C8" s="385"/>
      <c r="D8" s="385"/>
      <c r="E8" s="385"/>
      <c r="F8" s="385"/>
      <c r="G8" s="385"/>
      <c r="H8" s="385"/>
      <c r="I8" s="385"/>
      <c r="J8" s="385"/>
    </row>
    <row r="9" spans="1:12" ht="13.15" thickBot="1" x14ac:dyDescent="0.4"/>
    <row r="10" spans="1:12" ht="27.75" customHeight="1" thickBot="1" x14ac:dyDescent="0.4">
      <c r="A10" s="1"/>
      <c r="B10" s="1"/>
      <c r="C10" s="423" t="s">
        <v>40</v>
      </c>
      <c r="D10" s="424"/>
      <c r="E10" s="424"/>
      <c r="F10" s="425"/>
      <c r="G10" s="1"/>
      <c r="H10" s="1"/>
      <c r="I10" s="1"/>
      <c r="J10" s="1"/>
    </row>
    <row r="11" spans="1:12" ht="26.65" thickBot="1" x14ac:dyDescent="0.4">
      <c r="A11" s="419" t="s">
        <v>50</v>
      </c>
      <c r="B11" s="420" t="s">
        <v>106</v>
      </c>
      <c r="C11" s="421" t="s">
        <v>69</v>
      </c>
      <c r="D11" s="421" t="s">
        <v>41</v>
      </c>
      <c r="E11" s="421" t="s">
        <v>42</v>
      </c>
      <c r="F11" s="421" t="s">
        <v>43</v>
      </c>
      <c r="G11" s="420" t="s">
        <v>44</v>
      </c>
      <c r="H11" s="420" t="s">
        <v>45</v>
      </c>
      <c r="I11" s="420" t="s">
        <v>9</v>
      </c>
      <c r="J11" s="422" t="s">
        <v>46</v>
      </c>
    </row>
    <row r="12" spans="1:12" x14ac:dyDescent="0.35">
      <c r="A12" s="426" t="s">
        <v>39</v>
      </c>
      <c r="B12" s="427">
        <v>16622442.758230094</v>
      </c>
      <c r="C12" s="427">
        <v>6916471.4969233032</v>
      </c>
      <c r="D12" s="427">
        <v>4069157.3523474904</v>
      </c>
      <c r="E12" s="427">
        <v>3926008.3259491185</v>
      </c>
      <c r="F12" s="427">
        <v>0</v>
      </c>
      <c r="G12" s="427">
        <v>1493457.9780000001</v>
      </c>
      <c r="H12" s="428">
        <f>G12/$G$17</f>
        <v>6.4761584420327242E-2</v>
      </c>
      <c r="I12" s="427">
        <v>217347.60501017634</v>
      </c>
      <c r="J12" s="429">
        <f>SUM(B12:B12)/SUM(C12:G12)-1</f>
        <v>1.3248786610513541E-2</v>
      </c>
      <c r="L12" s="585"/>
    </row>
    <row r="13" spans="1:12" x14ac:dyDescent="0.35">
      <c r="A13" s="430" t="s">
        <v>38</v>
      </c>
      <c r="B13" s="431">
        <v>3573758.3509999979</v>
      </c>
      <c r="C13" s="431">
        <v>0</v>
      </c>
      <c r="D13" s="431">
        <v>3154904.8812662945</v>
      </c>
      <c r="E13" s="431">
        <v>6343457.3001722526</v>
      </c>
      <c r="F13" s="431">
        <v>0</v>
      </c>
      <c r="G13" s="431">
        <v>841735.41700000002</v>
      </c>
      <c r="H13" s="432">
        <f>G13/$G$17</f>
        <v>3.6500604684321994E-2</v>
      </c>
      <c r="I13" s="431">
        <v>150132.24948475309</v>
      </c>
      <c r="J13" s="433">
        <f>SUM(B13:B13,C17)/SUM(C13:G13)-1</f>
        <v>1.4519422863806142E-2</v>
      </c>
      <c r="L13" s="585"/>
    </row>
    <row r="14" spans="1:12" x14ac:dyDescent="0.35">
      <c r="A14" s="430" t="s">
        <v>37</v>
      </c>
      <c r="B14" s="431">
        <v>3823506.4395011161</v>
      </c>
      <c r="C14" s="431">
        <v>0</v>
      </c>
      <c r="D14" s="431">
        <v>0</v>
      </c>
      <c r="E14" s="431">
        <v>8832460.8701600209</v>
      </c>
      <c r="F14" s="431">
        <v>2669.9188176517273</v>
      </c>
      <c r="G14" s="431">
        <v>2053882.8173232989</v>
      </c>
      <c r="H14" s="432">
        <f>G14/$G$17</f>
        <v>8.9063574216978983E-2</v>
      </c>
      <c r="I14" s="431">
        <v>158555.06681392842</v>
      </c>
      <c r="J14" s="433">
        <f>SUM(B14:B14,D17)/SUM(C14:G14)-1</f>
        <v>1.4561012828763431E-2</v>
      </c>
      <c r="L14" s="585"/>
    </row>
    <row r="15" spans="1:12" x14ac:dyDescent="0.35">
      <c r="A15" s="430" t="s">
        <v>36</v>
      </c>
      <c r="B15" s="431">
        <v>1062278.6710020001</v>
      </c>
      <c r="C15" s="431">
        <v>0</v>
      </c>
      <c r="D15" s="431">
        <v>0</v>
      </c>
      <c r="E15" s="431">
        <v>0</v>
      </c>
      <c r="F15" s="431">
        <v>12835446.946616702</v>
      </c>
      <c r="G15" s="431">
        <v>6773439.932088959</v>
      </c>
      <c r="H15" s="432">
        <f>G15/$G$17</f>
        <v>0.2937201504426894</v>
      </c>
      <c r="I15" s="431">
        <v>555318.28857773344</v>
      </c>
      <c r="J15" s="433">
        <f>SUM(B15:B15,E17)/SUM(C15:G15)-1</f>
        <v>2.8319725235438131E-2</v>
      </c>
      <c r="L15" s="585"/>
    </row>
    <row r="16" spans="1:12" ht="13.15" thickBot="1" x14ac:dyDescent="0.4">
      <c r="A16" s="434" t="s">
        <v>49</v>
      </c>
      <c r="B16" s="435">
        <v>425859.71199999982</v>
      </c>
      <c r="C16" s="435">
        <v>0</v>
      </c>
      <c r="D16" s="435">
        <v>0</v>
      </c>
      <c r="E16" s="435">
        <v>0</v>
      </c>
      <c r="F16" s="435">
        <v>0</v>
      </c>
      <c r="G16" s="435">
        <v>11898346.114714876</v>
      </c>
      <c r="H16" s="436">
        <f>G16/$G$17</f>
        <v>0.51595408623568251</v>
      </c>
      <c r="I16" s="435">
        <v>1365630.462719477</v>
      </c>
      <c r="J16" s="437">
        <f>SUM(B16:B16,F17)/SUM(C16:G16)-1</f>
        <v>0.11477481404164069</v>
      </c>
      <c r="L16" s="585"/>
    </row>
    <row r="17" spans="1:12" ht="13.5" thickBot="1" x14ac:dyDescent="0.4">
      <c r="A17" s="386" t="s">
        <v>4</v>
      </c>
      <c r="B17" s="438">
        <f t="shared" ref="B17:I17" si="0">SUM(B12:B16)</f>
        <v>25507845.93173321</v>
      </c>
      <c r="C17" s="438">
        <f t="shared" si="0"/>
        <v>6916471.4969233032</v>
      </c>
      <c r="D17" s="438">
        <f t="shared" si="0"/>
        <v>7224062.2336137854</v>
      </c>
      <c r="E17" s="438">
        <f t="shared" si="0"/>
        <v>19101926.496281393</v>
      </c>
      <c r="F17" s="438">
        <f t="shared" si="0"/>
        <v>12838116.865434354</v>
      </c>
      <c r="G17" s="438">
        <f t="shared" si="0"/>
        <v>23060862.259127133</v>
      </c>
      <c r="H17" s="439">
        <f>SUM(H12:H16)</f>
        <v>1</v>
      </c>
      <c r="I17" s="438">
        <f t="shared" si="0"/>
        <v>2446983.6726060687</v>
      </c>
      <c r="J17" s="440"/>
    </row>
    <row r="19" spans="1:12" s="379" customFormat="1" ht="15" x14ac:dyDescent="0.4">
      <c r="A19" s="384" t="s">
        <v>70</v>
      </c>
      <c r="B19" s="385"/>
      <c r="C19" s="385"/>
      <c r="D19" s="385"/>
      <c r="E19" s="385"/>
      <c r="F19" s="385"/>
      <c r="G19" s="385"/>
      <c r="H19" s="385"/>
      <c r="I19" s="385"/>
      <c r="J19" s="385"/>
    </row>
    <row r="20" spans="1:12" ht="13.15" thickBot="1" x14ac:dyDescent="0.4"/>
    <row r="21" spans="1:12" ht="27.75" customHeight="1" thickBot="1" x14ac:dyDescent="0.4">
      <c r="A21" s="1"/>
      <c r="B21" s="1"/>
      <c r="C21" s="423" t="s">
        <v>40</v>
      </c>
      <c r="D21" s="424"/>
      <c r="E21" s="424"/>
      <c r="F21" s="425"/>
      <c r="G21" s="1"/>
      <c r="H21" s="1"/>
      <c r="I21" s="1"/>
      <c r="J21" s="1"/>
    </row>
    <row r="22" spans="1:12" ht="26.65" thickBot="1" x14ac:dyDescent="0.4">
      <c r="A22" s="419" t="s">
        <v>50</v>
      </c>
      <c r="B22" s="420" t="s">
        <v>106</v>
      </c>
      <c r="C22" s="421" t="s">
        <v>69</v>
      </c>
      <c r="D22" s="421" t="s">
        <v>41</v>
      </c>
      <c r="E22" s="421" t="s">
        <v>42</v>
      </c>
      <c r="F22" s="421" t="s">
        <v>43</v>
      </c>
      <c r="G22" s="420" t="s">
        <v>44</v>
      </c>
      <c r="H22" s="420" t="s">
        <v>45</v>
      </c>
      <c r="I22" s="420" t="s">
        <v>9</v>
      </c>
      <c r="J22" s="422" t="s">
        <v>46</v>
      </c>
    </row>
    <row r="23" spans="1:12" x14ac:dyDescent="0.35">
      <c r="A23" s="426" t="s">
        <v>39</v>
      </c>
      <c r="B23" s="427">
        <v>20760370.409851808</v>
      </c>
      <c r="C23" s="427">
        <v>8592727.3426728174</v>
      </c>
      <c r="D23" s="427">
        <v>4984280.7351682233</v>
      </c>
      <c r="E23" s="427">
        <v>4799954.470003563</v>
      </c>
      <c r="F23" s="427">
        <v>0</v>
      </c>
      <c r="G23" s="427">
        <v>2129542.4470000006</v>
      </c>
      <c r="H23" s="428">
        <f>G23/$G$28</f>
        <v>7.4129214308269548E-2</v>
      </c>
      <c r="I23" s="427">
        <v>253865.4150072113</v>
      </c>
      <c r="J23" s="429">
        <f>SUM(B23:B23)/SUM(C23:G23)-1</f>
        <v>1.2379750477764295E-2</v>
      </c>
      <c r="L23" s="585"/>
    </row>
    <row r="24" spans="1:12" x14ac:dyDescent="0.35">
      <c r="A24" s="430" t="s">
        <v>38</v>
      </c>
      <c r="B24" s="431">
        <v>4348480.3450000025</v>
      </c>
      <c r="C24" s="431">
        <v>0</v>
      </c>
      <c r="D24" s="431">
        <v>3913411.0106890434</v>
      </c>
      <c r="E24" s="431">
        <v>7732855.1114326883</v>
      </c>
      <c r="F24" s="431">
        <v>0</v>
      </c>
      <c r="G24" s="431">
        <v>1123672.669</v>
      </c>
      <c r="H24" s="432">
        <f>G24/$G$28</f>
        <v>3.9114962094318001E-2</v>
      </c>
      <c r="I24" s="431">
        <v>171268.89655108922</v>
      </c>
      <c r="J24" s="433">
        <f>SUM(B24:B24,C28)/SUM(C24:G24)-1</f>
        <v>1.3411880773474216E-2</v>
      </c>
      <c r="L24" s="585"/>
    </row>
    <row r="25" spans="1:12" x14ac:dyDescent="0.35">
      <c r="A25" s="430" t="s">
        <v>37</v>
      </c>
      <c r="B25" s="431">
        <v>4722078.1175334677</v>
      </c>
      <c r="C25" s="431">
        <v>0</v>
      </c>
      <c r="D25" s="431">
        <v>0</v>
      </c>
      <c r="E25" s="431">
        <v>10729641.694910539</v>
      </c>
      <c r="F25" s="431">
        <v>3254.9723541703661</v>
      </c>
      <c r="G25" s="431">
        <v>2703132.3736402891</v>
      </c>
      <c r="H25" s="432">
        <f>G25/$G$28</f>
        <v>9.4095837024281814E-2</v>
      </c>
      <c r="I25" s="431">
        <v>183740.82248573549</v>
      </c>
      <c r="J25" s="433">
        <f>SUM(B25:B25,D28)/SUM(C25:G25)-1</f>
        <v>1.3675232609750232E-2</v>
      </c>
      <c r="L25" s="585"/>
    </row>
    <row r="26" spans="1:12" x14ac:dyDescent="0.35">
      <c r="A26" s="430" t="s">
        <v>36</v>
      </c>
      <c r="B26" s="431">
        <v>1343335.7359549995</v>
      </c>
      <c r="C26" s="431">
        <v>0</v>
      </c>
      <c r="D26" s="431">
        <v>0</v>
      </c>
      <c r="E26" s="431">
        <v>0</v>
      </c>
      <c r="F26" s="431">
        <v>15544696.884268887</v>
      </c>
      <c r="G26" s="431">
        <v>8390770.537989473</v>
      </c>
      <c r="H26" s="432">
        <f>G26/$G$28</f>
        <v>0.2920820988087755</v>
      </c>
      <c r="I26" s="431">
        <v>670319.59004342696</v>
      </c>
      <c r="J26" s="433">
        <f>SUM(B26:B26,E28)/SUM(C26:G26)-1</f>
        <v>2.8005285136820657E-2</v>
      </c>
      <c r="L26" s="585"/>
    </row>
    <row r="27" spans="1:12" ht="13.15" thickBot="1" x14ac:dyDescent="0.4">
      <c r="A27" s="434" t="s">
        <v>49</v>
      </c>
      <c r="B27" s="435">
        <v>550537.12409899989</v>
      </c>
      <c r="C27" s="435">
        <v>0</v>
      </c>
      <c r="D27" s="435">
        <v>0</v>
      </c>
      <c r="E27" s="435">
        <v>0</v>
      </c>
      <c r="F27" s="435">
        <v>0</v>
      </c>
      <c r="G27" s="435">
        <v>14380320.498080308</v>
      </c>
      <c r="H27" s="436">
        <f>G27/$G$28</f>
        <v>0.50057788776435519</v>
      </c>
      <c r="I27" s="435">
        <v>1718168.4826417435</v>
      </c>
      <c r="J27" s="437">
        <f>SUM(B27:B27,F28)/SUM(C27:G27)-1</f>
        <v>0.11948054167993782</v>
      </c>
      <c r="L27" s="585"/>
    </row>
    <row r="28" spans="1:12" ht="13.5" thickBot="1" x14ac:dyDescent="0.4">
      <c r="A28" s="386" t="s">
        <v>4</v>
      </c>
      <c r="B28" s="438">
        <f t="shared" ref="B28:I28" si="1">SUM(B23:B27)</f>
        <v>31724801.73243928</v>
      </c>
      <c r="C28" s="438">
        <f t="shared" si="1"/>
        <v>8592727.3426728174</v>
      </c>
      <c r="D28" s="438">
        <f t="shared" si="1"/>
        <v>8897691.7458572667</v>
      </c>
      <c r="E28" s="438">
        <f t="shared" si="1"/>
        <v>23262451.276346788</v>
      </c>
      <c r="F28" s="438">
        <f t="shared" si="1"/>
        <v>15547951.856623057</v>
      </c>
      <c r="G28" s="438">
        <f t="shared" si="1"/>
        <v>28727438.525710069</v>
      </c>
      <c r="H28" s="439">
        <f t="shared" si="1"/>
        <v>1</v>
      </c>
      <c r="I28" s="438">
        <f t="shared" si="1"/>
        <v>2997363.2067292063</v>
      </c>
      <c r="J28" s="440"/>
    </row>
    <row r="30" spans="1:12" s="379" customFormat="1" ht="15" x14ac:dyDescent="0.4">
      <c r="A30" s="384" t="s">
        <v>71</v>
      </c>
      <c r="B30" s="385"/>
      <c r="C30" s="385"/>
      <c r="D30" s="385"/>
      <c r="E30" s="385"/>
      <c r="F30" s="385"/>
      <c r="G30" s="385"/>
      <c r="H30" s="385"/>
      <c r="I30" s="385"/>
      <c r="J30" s="385"/>
    </row>
    <row r="31" spans="1:12" ht="13.15" thickBot="1" x14ac:dyDescent="0.4"/>
    <row r="32" spans="1:12" ht="27.75" customHeight="1" thickBot="1" x14ac:dyDescent="0.4">
      <c r="A32" s="1"/>
      <c r="B32" s="1"/>
      <c r="C32" s="423" t="s">
        <v>40</v>
      </c>
      <c r="D32" s="424"/>
      <c r="E32" s="424"/>
      <c r="F32" s="425"/>
      <c r="G32" s="1"/>
      <c r="H32" s="1"/>
      <c r="I32" s="1"/>
      <c r="J32" s="1"/>
    </row>
    <row r="33" spans="1:12" ht="26.65" thickBot="1" x14ac:dyDescent="0.4">
      <c r="A33" s="419" t="s">
        <v>50</v>
      </c>
      <c r="B33" s="420" t="s">
        <v>106</v>
      </c>
      <c r="C33" s="421" t="s">
        <v>69</v>
      </c>
      <c r="D33" s="421" t="s">
        <v>41</v>
      </c>
      <c r="E33" s="421" t="s">
        <v>42</v>
      </c>
      <c r="F33" s="421" t="s">
        <v>43</v>
      </c>
      <c r="G33" s="420" t="s">
        <v>44</v>
      </c>
      <c r="H33" s="420" t="s">
        <v>45</v>
      </c>
      <c r="I33" s="420" t="s">
        <v>9</v>
      </c>
      <c r="J33" s="422" t="s">
        <v>46</v>
      </c>
    </row>
    <row r="34" spans="1:12" x14ac:dyDescent="0.35">
      <c r="A34" s="426" t="s">
        <v>39</v>
      </c>
      <c r="B34" s="427">
        <v>18741951.717772365</v>
      </c>
      <c r="C34" s="427">
        <v>7864451.9725557566</v>
      </c>
      <c r="D34" s="427">
        <v>4404569.3685447033</v>
      </c>
      <c r="E34" s="427">
        <v>4216689.1871154392</v>
      </c>
      <c r="F34" s="427">
        <v>0</v>
      </c>
      <c r="G34" s="427">
        <v>2093072.0259999998</v>
      </c>
      <c r="H34" s="428">
        <f>G34/$G$39</f>
        <v>8.092398293055357E-2</v>
      </c>
      <c r="I34" s="427">
        <v>163169.16355647557</v>
      </c>
      <c r="J34" s="429">
        <f>SUM(B34:B34)/SUM(C34:G34)-1</f>
        <v>8.7825541356281178E-3</v>
      </c>
      <c r="L34" s="585"/>
    </row>
    <row r="35" spans="1:12" x14ac:dyDescent="0.35">
      <c r="A35" s="430" t="s">
        <v>38</v>
      </c>
      <c r="B35" s="431">
        <v>3534589.1040000007</v>
      </c>
      <c r="C35" s="431">
        <v>0</v>
      </c>
      <c r="D35" s="431">
        <v>3407693.7876368957</v>
      </c>
      <c r="E35" s="431">
        <v>6759719.2372700013</v>
      </c>
      <c r="F35" s="431">
        <v>0</v>
      </c>
      <c r="G35" s="431">
        <v>1091096.7609999999</v>
      </c>
      <c r="H35" s="432">
        <f>G35/$G$39</f>
        <v>4.2184833854707629E-2</v>
      </c>
      <c r="I35" s="431">
        <v>140531.29064885998</v>
      </c>
      <c r="J35" s="433">
        <f>SUM(B35:B35,C39)/SUM(C35:G35)-1</f>
        <v>1.2482228405110485E-2</v>
      </c>
      <c r="L35" s="585"/>
    </row>
    <row r="36" spans="1:12" x14ac:dyDescent="0.35">
      <c r="A36" s="430" t="s">
        <v>37</v>
      </c>
      <c r="B36" s="431">
        <v>3990292.9064671723</v>
      </c>
      <c r="C36" s="431">
        <v>0</v>
      </c>
      <c r="D36" s="431">
        <v>0</v>
      </c>
      <c r="E36" s="431">
        <v>9142303.7196238954</v>
      </c>
      <c r="F36" s="431">
        <v>2852.8106870905713</v>
      </c>
      <c r="G36" s="431">
        <v>2503856.3193229954</v>
      </c>
      <c r="H36" s="432">
        <f>G36/$G$39</f>
        <v>9.6806045625040887E-2</v>
      </c>
      <c r="I36" s="431">
        <v>153543.21301478974</v>
      </c>
      <c r="J36" s="433">
        <f>SUM(B36:B36,D39)/SUM(C36:G36)-1</f>
        <v>1.3180791797273494E-2</v>
      </c>
      <c r="L36" s="585"/>
    </row>
    <row r="37" spans="1:12" x14ac:dyDescent="0.35">
      <c r="A37" s="430" t="s">
        <v>36</v>
      </c>
      <c r="B37" s="431">
        <v>1253152.8649969995</v>
      </c>
      <c r="C37" s="431">
        <v>0</v>
      </c>
      <c r="D37" s="431">
        <v>0</v>
      </c>
      <c r="E37" s="431">
        <v>0</v>
      </c>
      <c r="F37" s="431">
        <v>12670475.503155399</v>
      </c>
      <c r="G37" s="431">
        <v>8182780.6982765468</v>
      </c>
      <c r="H37" s="432">
        <f>G37/$G$39</f>
        <v>0.31636904861667409</v>
      </c>
      <c r="I37" s="431">
        <v>518608.80757438764</v>
      </c>
      <c r="J37" s="433">
        <f>SUM(B37:B37,E39)/SUM(C37:G37)-1</f>
        <v>2.4869440175907753E-2</v>
      </c>
      <c r="L37" s="585"/>
    </row>
    <row r="38" spans="1:12" ht="13.15" thickBot="1" x14ac:dyDescent="0.4">
      <c r="A38" s="434" t="s">
        <v>49</v>
      </c>
      <c r="B38" s="435">
        <v>617091.13574900024</v>
      </c>
      <c r="C38" s="435">
        <v>0</v>
      </c>
      <c r="D38" s="435">
        <v>0</v>
      </c>
      <c r="E38" s="435">
        <v>0</v>
      </c>
      <c r="F38" s="435">
        <v>0</v>
      </c>
      <c r="G38" s="435">
        <v>11993863.113095831</v>
      </c>
      <c r="H38" s="436">
        <f>G38/$G$39</f>
        <v>0.4637160889730238</v>
      </c>
      <c r="I38" s="435">
        <v>1296556.3364956544</v>
      </c>
      <c r="J38" s="437">
        <f>SUM(B38:B38,F39)/SUM(C38:G38)-1</f>
        <v>0.10810164533893829</v>
      </c>
      <c r="L38" s="585"/>
    </row>
    <row r="39" spans="1:12" ht="13.5" thickBot="1" x14ac:dyDescent="0.4">
      <c r="A39" s="386" t="s">
        <v>4</v>
      </c>
      <c r="B39" s="438">
        <f t="shared" ref="B39:I39" si="2">SUM(B34:B38)</f>
        <v>28137077.728985541</v>
      </c>
      <c r="C39" s="438">
        <f t="shared" si="2"/>
        <v>7864451.9725557566</v>
      </c>
      <c r="D39" s="438">
        <f t="shared" si="2"/>
        <v>7812263.156181599</v>
      </c>
      <c r="E39" s="438">
        <f t="shared" si="2"/>
        <v>20118712.144009337</v>
      </c>
      <c r="F39" s="438">
        <f t="shared" si="2"/>
        <v>12673328.31384249</v>
      </c>
      <c r="G39" s="438">
        <f t="shared" si="2"/>
        <v>25864668.917695373</v>
      </c>
      <c r="H39" s="439">
        <f t="shared" si="2"/>
        <v>1</v>
      </c>
      <c r="I39" s="438">
        <f t="shared" si="2"/>
        <v>2272408.8112901673</v>
      </c>
      <c r="J39" s="440"/>
    </row>
    <row r="41" spans="1:12" s="379" customFormat="1" ht="15" x14ac:dyDescent="0.4">
      <c r="A41" s="384" t="s">
        <v>72</v>
      </c>
      <c r="B41" s="385"/>
      <c r="C41" s="385"/>
      <c r="D41" s="385"/>
      <c r="E41" s="385"/>
      <c r="F41" s="385"/>
      <c r="G41" s="385"/>
      <c r="H41" s="385"/>
      <c r="I41" s="385"/>
      <c r="J41" s="385"/>
    </row>
    <row r="42" spans="1:12" ht="13.15" thickBot="1" x14ac:dyDescent="0.4"/>
    <row r="43" spans="1:12" ht="27.75" customHeight="1" thickBot="1" x14ac:dyDescent="0.4">
      <c r="A43" s="1"/>
      <c r="B43" s="1"/>
      <c r="C43" s="423" t="s">
        <v>40</v>
      </c>
      <c r="D43" s="424"/>
      <c r="E43" s="424"/>
      <c r="F43" s="425"/>
      <c r="G43" s="1"/>
      <c r="H43" s="1"/>
      <c r="I43" s="1"/>
      <c r="J43" s="1"/>
    </row>
    <row r="44" spans="1:12" ht="26.65" thickBot="1" x14ac:dyDescent="0.4">
      <c r="A44" s="419" t="s">
        <v>50</v>
      </c>
      <c r="B44" s="420" t="s">
        <v>106</v>
      </c>
      <c r="C44" s="421" t="s">
        <v>69</v>
      </c>
      <c r="D44" s="421" t="s">
        <v>41</v>
      </c>
      <c r="E44" s="421" t="s">
        <v>42</v>
      </c>
      <c r="F44" s="421" t="s">
        <v>43</v>
      </c>
      <c r="G44" s="420" t="s">
        <v>44</v>
      </c>
      <c r="H44" s="420" t="s">
        <v>45</v>
      </c>
      <c r="I44" s="420" t="s">
        <v>9</v>
      </c>
      <c r="J44" s="422" t="s">
        <v>46</v>
      </c>
    </row>
    <row r="45" spans="1:12" x14ac:dyDescent="0.35">
      <c r="A45" s="426" t="s">
        <v>39</v>
      </c>
      <c r="B45" s="427">
        <v>20608064.816028237</v>
      </c>
      <c r="C45" s="427">
        <v>8607173.2228954714</v>
      </c>
      <c r="D45" s="427">
        <v>4811143.6508265249</v>
      </c>
      <c r="E45" s="427">
        <v>4588152.5553062437</v>
      </c>
      <c r="F45" s="427">
        <v>0</v>
      </c>
      <c r="G45" s="427">
        <v>2428918.6109999996</v>
      </c>
      <c r="H45" s="428">
        <f>G45/$G$50</f>
        <v>8.4584343343881527E-2</v>
      </c>
      <c r="I45" s="427">
        <v>172676.77600000123</v>
      </c>
      <c r="J45" s="429">
        <f>SUM(B45:B45)/SUM(C45:G45)-1</f>
        <v>8.4498897530973505E-3</v>
      </c>
      <c r="L45" s="585"/>
    </row>
    <row r="46" spans="1:12" x14ac:dyDescent="0.35">
      <c r="A46" s="430" t="s">
        <v>38</v>
      </c>
      <c r="B46" s="431">
        <v>3884023.2189999991</v>
      </c>
      <c r="C46" s="431">
        <v>0</v>
      </c>
      <c r="D46" s="431">
        <v>3735021.724929478</v>
      </c>
      <c r="E46" s="431">
        <v>7358838.0468137143</v>
      </c>
      <c r="F46" s="431">
        <v>0</v>
      </c>
      <c r="G46" s="431">
        <v>1238383.4909999999</v>
      </c>
      <c r="H46" s="432">
        <f>G46/$G$50</f>
        <v>4.3125304371978659E-2</v>
      </c>
      <c r="I46" s="431">
        <v>158953.17915227881</v>
      </c>
      <c r="J46" s="433">
        <f>SUM(B46:B46,C50)/SUM(C46:G46)-1</f>
        <v>1.2889234810384176E-2</v>
      </c>
      <c r="L46" s="585"/>
    </row>
    <row r="47" spans="1:12" x14ac:dyDescent="0.35">
      <c r="A47" s="430" t="s">
        <v>37</v>
      </c>
      <c r="B47" s="431">
        <v>4416206.864937434</v>
      </c>
      <c r="C47" s="431">
        <v>0</v>
      </c>
      <c r="D47" s="431">
        <v>0</v>
      </c>
      <c r="E47" s="431">
        <v>9957426.1396151055</v>
      </c>
      <c r="F47" s="431">
        <v>3096.5013497178284</v>
      </c>
      <c r="G47" s="431">
        <v>2829305.7849488407</v>
      </c>
      <c r="H47" s="432">
        <f>G47/$G$50</f>
        <v>9.852737380953891E-2</v>
      </c>
      <c r="I47" s="431">
        <v>172543.81477977082</v>
      </c>
      <c r="J47" s="433">
        <f>SUM(B47:B47,D50)/SUM(C47:G47)-1</f>
        <v>1.349070597617863E-2</v>
      </c>
      <c r="L47" s="585"/>
    </row>
    <row r="48" spans="1:12" x14ac:dyDescent="0.35">
      <c r="A48" s="430" t="s">
        <v>36</v>
      </c>
      <c r="B48" s="431">
        <v>1478528.7740280009</v>
      </c>
      <c r="C48" s="431">
        <v>0</v>
      </c>
      <c r="D48" s="431">
        <v>0</v>
      </c>
      <c r="E48" s="431">
        <v>0</v>
      </c>
      <c r="F48" s="431">
        <v>13812825.293792447</v>
      </c>
      <c r="G48" s="431">
        <v>9014714.7051830571</v>
      </c>
      <c r="H48" s="432">
        <f>G48/$G$50</f>
        <v>0.31392724330784155</v>
      </c>
      <c r="I48" s="431">
        <v>555405.51678755507</v>
      </c>
      <c r="J48" s="433">
        <f>SUM(B48:B48,E50)/SUM(C48:G48)-1</f>
        <v>2.4330502402470255E-2</v>
      </c>
      <c r="L48" s="585"/>
    </row>
    <row r="49" spans="1:12" ht="13.15" thickBot="1" x14ac:dyDescent="0.4">
      <c r="A49" s="434" t="s">
        <v>49</v>
      </c>
      <c r="B49" s="435">
        <v>753994.01100000006</v>
      </c>
      <c r="C49" s="435">
        <v>0</v>
      </c>
      <c r="D49" s="435">
        <v>0</v>
      </c>
      <c r="E49" s="435">
        <v>0</v>
      </c>
      <c r="F49" s="435">
        <v>0</v>
      </c>
      <c r="G49" s="435">
        <v>13204613.655373383</v>
      </c>
      <c r="H49" s="436">
        <f>G49/$G$50</f>
        <v>0.45983573516675935</v>
      </c>
      <c r="I49" s="435">
        <v>1365302.1507687788</v>
      </c>
      <c r="J49" s="437">
        <f>SUM(B49:B49,F50)/SUM(C49:G49)-1</f>
        <v>0.10339584227162879</v>
      </c>
      <c r="L49" s="585"/>
    </row>
    <row r="50" spans="1:12" ht="13.5" thickBot="1" x14ac:dyDescent="0.4">
      <c r="A50" s="386" t="s">
        <v>4</v>
      </c>
      <c r="B50" s="438">
        <f t="shared" ref="B50:I50" si="3">SUM(B45:B49)</f>
        <v>31140817.684993673</v>
      </c>
      <c r="C50" s="438">
        <f t="shared" si="3"/>
        <v>8607173.2228954714</v>
      </c>
      <c r="D50" s="438">
        <f t="shared" si="3"/>
        <v>8546165.375756003</v>
      </c>
      <c r="E50" s="438">
        <f t="shared" si="3"/>
        <v>21904416.741735063</v>
      </c>
      <c r="F50" s="438">
        <f t="shared" si="3"/>
        <v>13815921.795142164</v>
      </c>
      <c r="G50" s="438">
        <f t="shared" si="3"/>
        <v>28715936.247505281</v>
      </c>
      <c r="H50" s="439">
        <f t="shared" si="3"/>
        <v>1</v>
      </c>
      <c r="I50" s="438">
        <f t="shared" si="3"/>
        <v>2424881.4374883845</v>
      </c>
      <c r="J50" s="440"/>
    </row>
    <row r="52" spans="1:12" s="379" customFormat="1" ht="15" x14ac:dyDescent="0.4">
      <c r="A52" s="384" t="s">
        <v>73</v>
      </c>
      <c r="B52" s="385"/>
      <c r="C52" s="385"/>
      <c r="D52" s="385"/>
      <c r="E52" s="385"/>
      <c r="F52" s="385"/>
      <c r="G52" s="385"/>
      <c r="H52" s="385"/>
      <c r="I52" s="385"/>
      <c r="J52" s="385"/>
    </row>
    <row r="53" spans="1:12" ht="13.15" thickBot="1" x14ac:dyDescent="0.4"/>
    <row r="54" spans="1:12" ht="27.75" customHeight="1" thickBot="1" x14ac:dyDescent="0.4">
      <c r="A54" s="1"/>
      <c r="B54" s="1"/>
      <c r="C54" s="423" t="s">
        <v>40</v>
      </c>
      <c r="D54" s="424"/>
      <c r="E54" s="424"/>
      <c r="F54" s="425"/>
      <c r="G54" s="1"/>
      <c r="H54" s="1"/>
      <c r="I54" s="1"/>
      <c r="J54" s="1"/>
    </row>
    <row r="55" spans="1:12" ht="26.65" thickBot="1" x14ac:dyDescent="0.4">
      <c r="A55" s="419" t="s">
        <v>50</v>
      </c>
      <c r="B55" s="420" t="s">
        <v>106</v>
      </c>
      <c r="C55" s="421" t="s">
        <v>69</v>
      </c>
      <c r="D55" s="421" t="s">
        <v>41</v>
      </c>
      <c r="E55" s="421" t="s">
        <v>42</v>
      </c>
      <c r="F55" s="421" t="s">
        <v>43</v>
      </c>
      <c r="G55" s="420" t="s">
        <v>44</v>
      </c>
      <c r="H55" s="420" t="s">
        <v>45</v>
      </c>
      <c r="I55" s="420" t="s">
        <v>9</v>
      </c>
      <c r="J55" s="422" t="s">
        <v>46</v>
      </c>
    </row>
    <row r="56" spans="1:12" x14ac:dyDescent="0.35">
      <c r="A56" s="426" t="s">
        <v>39</v>
      </c>
      <c r="B56" s="427">
        <v>8100666.52257377</v>
      </c>
      <c r="C56" s="427">
        <v>3326610.7288688803</v>
      </c>
      <c r="D56" s="427">
        <v>1851032.8833388833</v>
      </c>
      <c r="E56" s="427">
        <v>1788431.2173660058</v>
      </c>
      <c r="F56" s="427">
        <v>0</v>
      </c>
      <c r="G56" s="427">
        <v>1062402.8830000001</v>
      </c>
      <c r="H56" s="428">
        <f>G56/$G$61</f>
        <v>9.156763802928676E-2</v>
      </c>
      <c r="I56" s="427">
        <v>72188.810000000783</v>
      </c>
      <c r="J56" s="429">
        <f>SUM(B56:B56)/SUM(C56:G56)-1</f>
        <v>8.9915937472109242E-3</v>
      </c>
      <c r="L56" s="585"/>
    </row>
    <row r="57" spans="1:12" x14ac:dyDescent="0.35">
      <c r="A57" s="430" t="s">
        <v>38</v>
      </c>
      <c r="B57" s="431">
        <v>1600976.177000002</v>
      </c>
      <c r="C57" s="431">
        <v>0</v>
      </c>
      <c r="D57" s="431">
        <v>1479526.0711732584</v>
      </c>
      <c r="E57" s="431">
        <v>2866079.5692531774</v>
      </c>
      <c r="F57" s="431">
        <v>0</v>
      </c>
      <c r="G57" s="431">
        <v>520077.6160000001</v>
      </c>
      <c r="H57" s="432">
        <f>G57/$G$61</f>
        <v>4.4825065566978885E-2</v>
      </c>
      <c r="I57" s="431">
        <v>61903.649442446411</v>
      </c>
      <c r="J57" s="433">
        <f>SUM(B57:B57,C61)/SUM(C57:G57)-1</f>
        <v>1.2722498810559868E-2</v>
      </c>
      <c r="L57" s="585"/>
    </row>
    <row r="58" spans="1:12" x14ac:dyDescent="0.35">
      <c r="A58" s="430" t="s">
        <v>37</v>
      </c>
      <c r="B58" s="431">
        <v>1909921.5291377096</v>
      </c>
      <c r="C58" s="431">
        <v>0</v>
      </c>
      <c r="D58" s="431">
        <v>0</v>
      </c>
      <c r="E58" s="431">
        <v>3974972.1698316066</v>
      </c>
      <c r="F58" s="431">
        <v>1199.5922339315518</v>
      </c>
      <c r="G58" s="431">
        <v>1197370.4275756748</v>
      </c>
      <c r="H58" s="432">
        <f>G58/$G$61</f>
        <v>0.10320038062172851</v>
      </c>
      <c r="I58" s="431">
        <v>66938.29400863839</v>
      </c>
      <c r="J58" s="433">
        <f>SUM(B58:B58,D61)/SUM(C58:G58)-1</f>
        <v>1.2938580870697658E-2</v>
      </c>
      <c r="L58" s="585"/>
    </row>
    <row r="59" spans="1:12" x14ac:dyDescent="0.35">
      <c r="A59" s="430" t="s">
        <v>36</v>
      </c>
      <c r="B59" s="431">
        <v>653388.15596699982</v>
      </c>
      <c r="C59" s="431">
        <v>0</v>
      </c>
      <c r="D59" s="431">
        <v>0</v>
      </c>
      <c r="E59" s="431">
        <v>0</v>
      </c>
      <c r="F59" s="431">
        <v>5470424.693649428</v>
      </c>
      <c r="G59" s="431">
        <v>3588478.3043022174</v>
      </c>
      <c r="H59" s="432">
        <f>G59/$G$61</f>
        <v>0.30928801841767417</v>
      </c>
      <c r="I59" s="431">
        <v>223968.11446614406</v>
      </c>
      <c r="J59" s="433">
        <f>SUM(B59:B59,E61)/SUM(C59:G59)-1</f>
        <v>2.4723536008365077E-2</v>
      </c>
      <c r="L59" s="585"/>
    </row>
    <row r="60" spans="1:12" ht="13.15" thickBot="1" x14ac:dyDescent="0.4">
      <c r="A60" s="434" t="s">
        <v>49</v>
      </c>
      <c r="B60" s="435">
        <v>320801.48699999996</v>
      </c>
      <c r="C60" s="435">
        <v>0</v>
      </c>
      <c r="D60" s="435">
        <v>0</v>
      </c>
      <c r="E60" s="435">
        <v>0</v>
      </c>
      <c r="F60" s="435">
        <v>0</v>
      </c>
      <c r="G60" s="435">
        <v>5234054.6010628613</v>
      </c>
      <c r="H60" s="436">
        <f>G60/$G$61</f>
        <v>0.45111889736433153</v>
      </c>
      <c r="I60" s="435">
        <v>558371.17182049749</v>
      </c>
      <c r="J60" s="437">
        <f>SUM(B60:B60,F61)/SUM(C60:G60)-1</f>
        <v>0.10668042547876966</v>
      </c>
      <c r="L60" s="585"/>
    </row>
    <row r="61" spans="1:12" ht="13.5" thickBot="1" x14ac:dyDescent="0.4">
      <c r="A61" s="386" t="s">
        <v>4</v>
      </c>
      <c r="B61" s="438">
        <f t="shared" ref="B61:I61" si="4">SUM(B56:B60)</f>
        <v>12585753.871678481</v>
      </c>
      <c r="C61" s="438">
        <f t="shared" si="4"/>
        <v>3326610.7288688803</v>
      </c>
      <c r="D61" s="438">
        <f t="shared" si="4"/>
        <v>3330558.9545121416</v>
      </c>
      <c r="E61" s="438">
        <f t="shared" si="4"/>
        <v>8629482.9564507902</v>
      </c>
      <c r="F61" s="438">
        <f t="shared" si="4"/>
        <v>5471624.2858833596</v>
      </c>
      <c r="G61" s="438">
        <f t="shared" si="4"/>
        <v>11602383.831940755</v>
      </c>
      <c r="H61" s="439">
        <f t="shared" si="4"/>
        <v>0.99999999999999989</v>
      </c>
      <c r="I61" s="438">
        <f t="shared" si="4"/>
        <v>983370.03973772714</v>
      </c>
      <c r="J61" s="440"/>
    </row>
    <row r="63" spans="1:12" s="379" customFormat="1" ht="15" x14ac:dyDescent="0.4">
      <c r="A63" s="384" t="s">
        <v>74</v>
      </c>
      <c r="B63" s="385"/>
      <c r="C63" s="385"/>
      <c r="D63" s="385"/>
      <c r="E63" s="385"/>
      <c r="F63" s="385"/>
      <c r="G63" s="385"/>
      <c r="H63" s="385"/>
      <c r="I63" s="385"/>
      <c r="J63" s="385"/>
    </row>
    <row r="64" spans="1:12" ht="13.15" thickBot="1" x14ac:dyDescent="0.4"/>
    <row r="65" spans="1:12" ht="27.75" customHeight="1" thickBot="1" x14ac:dyDescent="0.4">
      <c r="A65" s="1"/>
      <c r="B65" s="1"/>
      <c r="C65" s="423" t="s">
        <v>40</v>
      </c>
      <c r="D65" s="424"/>
      <c r="E65" s="424"/>
      <c r="F65" s="425"/>
      <c r="G65" s="1"/>
      <c r="H65" s="1"/>
      <c r="I65" s="1"/>
      <c r="J65" s="1"/>
    </row>
    <row r="66" spans="1:12" ht="26.65" thickBot="1" x14ac:dyDescent="0.4">
      <c r="A66" s="419" t="s">
        <v>50</v>
      </c>
      <c r="B66" s="420" t="s">
        <v>106</v>
      </c>
      <c r="C66" s="421" t="s">
        <v>69</v>
      </c>
      <c r="D66" s="421" t="s">
        <v>41</v>
      </c>
      <c r="E66" s="421" t="s">
        <v>42</v>
      </c>
      <c r="F66" s="421" t="s">
        <v>43</v>
      </c>
      <c r="G66" s="420" t="s">
        <v>44</v>
      </c>
      <c r="H66" s="420" t="s">
        <v>45</v>
      </c>
      <c r="I66" s="420" t="s">
        <v>9</v>
      </c>
      <c r="J66" s="422" t="s">
        <v>46</v>
      </c>
    </row>
    <row r="67" spans="1:12" x14ac:dyDescent="0.35">
      <c r="A67" s="426" t="s">
        <v>39</v>
      </c>
      <c r="B67" s="427">
        <v>76422575.458723396</v>
      </c>
      <c r="C67" s="427">
        <v>30864801.336710282</v>
      </c>
      <c r="D67" s="427">
        <v>16736876.066025436</v>
      </c>
      <c r="E67" s="427">
        <v>16239976.245658752</v>
      </c>
      <c r="F67" s="427">
        <v>0</v>
      </c>
      <c r="G67" s="427">
        <v>11736790.258999998</v>
      </c>
      <c r="H67" s="428">
        <f>G67/$G$72</f>
        <v>0.10958545839118952</v>
      </c>
      <c r="I67" s="427">
        <v>844131.55132894055</v>
      </c>
      <c r="J67" s="429">
        <f>SUM(B67:B67)/SUM(C67:G67)-1</f>
        <v>1.1168945901601779E-2</v>
      </c>
      <c r="L67" s="585"/>
    </row>
    <row r="68" spans="1:12" x14ac:dyDescent="0.35">
      <c r="A68" s="430" t="s">
        <v>38</v>
      </c>
      <c r="B68" s="431">
        <v>16921553.723000027</v>
      </c>
      <c r="C68" s="431">
        <v>0</v>
      </c>
      <c r="D68" s="431">
        <v>14174346.076706532</v>
      </c>
      <c r="E68" s="431">
        <v>27264597.493336182</v>
      </c>
      <c r="F68" s="431">
        <v>0</v>
      </c>
      <c r="G68" s="431">
        <v>5794740.1329999994</v>
      </c>
      <c r="H68" s="432">
        <f>G68/$G$72</f>
        <v>5.4105018469226072E-2</v>
      </c>
      <c r="I68" s="431">
        <v>552671.35666758288</v>
      </c>
      <c r="J68" s="433">
        <f>SUM(B68:B68,C72)/SUM(C68:G68)-1</f>
        <v>1.1700788787557315E-2</v>
      </c>
      <c r="L68" s="585"/>
    </row>
    <row r="69" spans="1:12" x14ac:dyDescent="0.35">
      <c r="A69" s="430" t="s">
        <v>37</v>
      </c>
      <c r="B69" s="431">
        <v>18612711.949336104</v>
      </c>
      <c r="C69" s="431">
        <v>0</v>
      </c>
      <c r="D69" s="431">
        <v>0</v>
      </c>
      <c r="E69" s="431">
        <v>37589693.110808291</v>
      </c>
      <c r="F69" s="431">
        <v>11020.649008577517</v>
      </c>
      <c r="G69" s="431">
        <v>11338363.709993921</v>
      </c>
      <c r="H69" s="432">
        <f>G69/$G$72</f>
        <v>0.10586538202920717</v>
      </c>
      <c r="I69" s="431">
        <v>584856.62225727725</v>
      </c>
      <c r="J69" s="433">
        <f>SUM(B69:B69,D72)/SUM(C69:G69)-1</f>
        <v>1.1950707951494666E-2</v>
      </c>
      <c r="L69" s="585"/>
    </row>
    <row r="70" spans="1:12" x14ac:dyDescent="0.35">
      <c r="A70" s="430" t="s">
        <v>36</v>
      </c>
      <c r="B70" s="431">
        <v>4815157.5110619944</v>
      </c>
      <c r="C70" s="431">
        <v>0</v>
      </c>
      <c r="D70" s="431">
        <v>0</v>
      </c>
      <c r="E70" s="431">
        <v>0</v>
      </c>
      <c r="F70" s="431">
        <v>52621060.852848843</v>
      </c>
      <c r="G70" s="431">
        <v>30686902.986593045</v>
      </c>
      <c r="H70" s="432">
        <f>G70/$G$72</f>
        <v>0.28652112342325214</v>
      </c>
      <c r="I70" s="431">
        <v>2601460.521423338</v>
      </c>
      <c r="J70" s="433">
        <f>SUM(B70:B70,E72)/SUM(C70:G70)-1</f>
        <v>3.1227032825301926E-2</v>
      </c>
      <c r="L70" s="585"/>
    </row>
    <row r="71" spans="1:12" ht="13.15" thickBot="1" x14ac:dyDescent="0.4">
      <c r="A71" s="434" t="s">
        <v>49</v>
      </c>
      <c r="B71" s="435">
        <v>1129600.8908749989</v>
      </c>
      <c r="C71" s="435">
        <v>0</v>
      </c>
      <c r="D71" s="435">
        <v>0</v>
      </c>
      <c r="E71" s="435">
        <v>0</v>
      </c>
      <c r="F71" s="435">
        <v>0</v>
      </c>
      <c r="G71" s="435">
        <v>47544915.413293801</v>
      </c>
      <c r="H71" s="436">
        <f>G71/$G$72</f>
        <v>0.44392301768712511</v>
      </c>
      <c r="I71" s="435">
        <v>6216766.9794386104</v>
      </c>
      <c r="J71" s="437">
        <f>SUM(B71:B71,F72)/SUM(C71:G71)-1</f>
        <v>0.13075566388956861</v>
      </c>
      <c r="L71" s="585"/>
    </row>
    <row r="72" spans="1:12" ht="13.5" thickBot="1" x14ac:dyDescent="0.4">
      <c r="A72" s="386" t="s">
        <v>4</v>
      </c>
      <c r="B72" s="438">
        <f t="shared" ref="B72:I72" si="5">SUM(B67:B71)</f>
        <v>117901599.53299652</v>
      </c>
      <c r="C72" s="438">
        <f t="shared" si="5"/>
        <v>30864801.336710282</v>
      </c>
      <c r="D72" s="438">
        <f t="shared" si="5"/>
        <v>30911222.142731968</v>
      </c>
      <c r="E72" s="438">
        <f t="shared" si="5"/>
        <v>81094266.849803224</v>
      </c>
      <c r="F72" s="438">
        <f t="shared" si="5"/>
        <v>52632081.501857422</v>
      </c>
      <c r="G72" s="438">
        <f t="shared" si="5"/>
        <v>107101712.50188076</v>
      </c>
      <c r="H72" s="439">
        <f t="shared" si="5"/>
        <v>1</v>
      </c>
      <c r="I72" s="438">
        <f t="shared" si="5"/>
        <v>10799887.031115748</v>
      </c>
      <c r="J72" s="44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headerFooter>
    <oddFooter>&amp;C_x000D_&amp;1#&amp;"Calibri"&amp;10&amp;K000000 INTERNA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I23"/>
  <sheetViews>
    <sheetView showGridLines="0" workbookViewId="0">
      <selection activeCell="J1" sqref="J1:P1048576"/>
    </sheetView>
  </sheetViews>
  <sheetFormatPr baseColWidth="10" defaultRowHeight="12.75" x14ac:dyDescent="0.35"/>
  <cols>
    <col min="1" max="1" width="14.1328125" customWidth="1"/>
    <col min="2" max="2" width="11.3984375" customWidth="1"/>
    <col min="3" max="3" width="13.39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" customHeight="1" x14ac:dyDescent="0.35">
      <c r="A6" s="617" t="s">
        <v>184</v>
      </c>
      <c r="B6" s="617"/>
      <c r="C6" s="617"/>
      <c r="D6" s="617"/>
      <c r="E6" s="617"/>
      <c r="F6" s="617"/>
      <c r="G6" s="617"/>
      <c r="H6" s="617"/>
      <c r="I6" s="617"/>
    </row>
    <row r="7" spans="1:9" ht="13.15" thickBot="1" x14ac:dyDescent="0.4"/>
    <row r="8" spans="1:9" ht="25.5" x14ac:dyDescent="0.35">
      <c r="A8" s="57" t="s">
        <v>52</v>
      </c>
      <c r="B8" s="64" t="s">
        <v>68</v>
      </c>
      <c r="C8" s="58" t="s">
        <v>51</v>
      </c>
      <c r="D8" s="64" t="s">
        <v>15</v>
      </c>
      <c r="E8" s="64" t="s">
        <v>16</v>
      </c>
      <c r="F8" s="64" t="s">
        <v>17</v>
      </c>
      <c r="G8" s="64" t="s">
        <v>18</v>
      </c>
      <c r="H8" s="64" t="s">
        <v>19</v>
      </c>
      <c r="I8" s="69" t="s">
        <v>20</v>
      </c>
    </row>
    <row r="9" spans="1:9" ht="18" x14ac:dyDescent="0.35">
      <c r="A9" s="59" t="s">
        <v>10</v>
      </c>
      <c r="B9" s="65" t="s">
        <v>10</v>
      </c>
      <c r="C9" s="60" t="s">
        <v>53</v>
      </c>
      <c r="D9" s="70">
        <v>1</v>
      </c>
      <c r="E9" s="70">
        <v>1</v>
      </c>
      <c r="F9" s="70">
        <v>1</v>
      </c>
      <c r="G9" s="70">
        <v>1</v>
      </c>
      <c r="H9" s="70">
        <v>1</v>
      </c>
      <c r="I9" s="76">
        <v>1</v>
      </c>
    </row>
    <row r="10" spans="1:9" ht="18" x14ac:dyDescent="0.35">
      <c r="A10" s="613" t="s">
        <v>11</v>
      </c>
      <c r="B10" s="66" t="s">
        <v>11</v>
      </c>
      <c r="C10" s="61" t="s">
        <v>54</v>
      </c>
      <c r="D10" s="71">
        <f>'IIa. Balances de Potencia'!$G$15/('IIa. Balances de Potencia'!$F$15+'IIa. Balances de Potencia'!$G$15)</f>
        <v>0.28063643491169449</v>
      </c>
      <c r="E10" s="71">
        <f>'IIa. Balances de Potencia'!$G$26/('IIa. Balances de Potencia'!$F$26+'IIa. Balances de Potencia'!$G$26)</f>
        <v>0.27540088499896276</v>
      </c>
      <c r="F10" s="71">
        <f>'IIa. Balances de Potencia'!$G$37/('IIa. Balances de Potencia'!$F$37+'IIa. Balances de Potencia'!$G$37)</f>
        <v>0.40571359141409913</v>
      </c>
      <c r="G10" s="71">
        <f>'IIa. Balances de Potencia'!$G$48/('IIa. Balances de Potencia'!$F$48+'IIa. Balances de Potencia'!$G$48)</f>
        <v>0.40185838974060434</v>
      </c>
      <c r="H10" s="71">
        <f>'IIa. Balances de Potencia'!$G$59/('IIa. Balances de Potencia'!$F$59+'IIa. Balances de Potencia'!$G$59)</f>
        <v>0.36521415241705413</v>
      </c>
      <c r="I10" s="77">
        <f>'IIa. Balances de Potencia'!$G$70/('IIa. Balances de Potencia'!$F$70+'IIa. Balances de Potencia'!$G$70)</f>
        <v>0.19398436339159919</v>
      </c>
    </row>
    <row r="11" spans="1:9" ht="18" x14ac:dyDescent="0.35">
      <c r="A11" s="614"/>
      <c r="B11" s="67" t="s">
        <v>10</v>
      </c>
      <c r="C11" s="62" t="s">
        <v>55</v>
      </c>
      <c r="D11" s="72">
        <f>'IIa. Balances de Potencia'!$F$15/('IIa. Balances de Potencia'!$F$15+'IIa. Balances de Potencia'!$G$15)</f>
        <v>0.71936356508830546</v>
      </c>
      <c r="E11" s="72">
        <f>'IIa. Balances de Potencia'!$F$26/('IIa. Balances de Potencia'!$F$26+'IIa. Balances de Potencia'!$G$26)</f>
        <v>0.72459911500103713</v>
      </c>
      <c r="F11" s="72">
        <f>'IIa. Balances de Potencia'!$F$37/('IIa. Balances de Potencia'!$F$37+'IIa. Balances de Potencia'!$G$37)</f>
        <v>0.59428640858590087</v>
      </c>
      <c r="G11" s="72">
        <f>'IIa. Balances de Potencia'!$F$48/('IIa. Balances de Potencia'!$F$48+'IIa. Balances de Potencia'!$G$48)</f>
        <v>0.59814161025939561</v>
      </c>
      <c r="H11" s="72">
        <f>'IIa. Balances de Potencia'!$F$59/('IIa. Balances de Potencia'!$F$59+'IIa. Balances de Potencia'!$G$59)</f>
        <v>0.63478584758294576</v>
      </c>
      <c r="I11" s="78">
        <f>'IIa. Balances de Potencia'!$F$70/('IIa. Balances de Potencia'!$F$70+'IIa. Balances de Potencia'!$G$70)</f>
        <v>0.80601563660840081</v>
      </c>
    </row>
    <row r="12" spans="1:9" ht="17.25" x14ac:dyDescent="0.35">
      <c r="A12" s="613" t="s">
        <v>12</v>
      </c>
      <c r="B12" s="66" t="s">
        <v>12</v>
      </c>
      <c r="C12" s="61" t="s">
        <v>56</v>
      </c>
      <c r="D12" s="71">
        <f>'IIa. Balances de Potencia'!$G$14/SUM('IIa. Balances de Potencia'!$E$14:$G$14)</f>
        <v>0.1546045743690399</v>
      </c>
      <c r="E12" s="71">
        <f>'IIa. Balances de Potencia'!$G$25/SUM('IIa. Balances de Potencia'!$E$25:$G$25)</f>
        <v>0.15525738539324563</v>
      </c>
      <c r="F12" s="71">
        <f>'IIa. Balances de Potencia'!$G$36/SUM('IIa. Balances de Potencia'!$E$36:$G$36)</f>
        <v>0.20560664142325938</v>
      </c>
      <c r="G12" s="71">
        <f>'IIa. Balances de Potencia'!$G$47/SUM('IIa. Balances de Potencia'!$E$47:$G$47)</f>
        <v>0.20756789292929562</v>
      </c>
      <c r="H12" s="71">
        <f>'IIa. Balances de Potencia'!$G$58/SUM('IIa. Balances de Potencia'!$E$58:$G$58)</f>
        <v>0.20339795503674968</v>
      </c>
      <c r="I12" s="77">
        <f>'IIa. Balances de Potencia'!$G$69/SUM('IIa. Balances de Potencia'!$E$69:$G$69)</f>
        <v>0.13547266632516536</v>
      </c>
    </row>
    <row r="13" spans="1:9" ht="17.25" x14ac:dyDescent="0.35">
      <c r="A13" s="615"/>
      <c r="B13" s="66" t="s">
        <v>11</v>
      </c>
      <c r="C13" s="61" t="s">
        <v>57</v>
      </c>
      <c r="D13" s="71">
        <f>'IIa. Balances de Potencia'!$E$14/SUM('IIa. Balances de Potencia'!$E$14:$G$14)*D10</f>
        <v>0.23717534533539339</v>
      </c>
      <c r="E13" s="71">
        <f>'IIa. Balances de Potencia'!$E$25/SUM('IIa. Balances de Potencia'!$E$25:$G$25)*E10</f>
        <v>0.23257160074174232</v>
      </c>
      <c r="F13" s="71">
        <f>'IIa. Balances de Potencia'!$E$36/SUM('IIa. Balances de Potencia'!$E$36:$G$36)*F10</f>
        <v>0.32219232354599281</v>
      </c>
      <c r="G13" s="71">
        <f>'IIa. Balances de Potencia'!$E$47/SUM('IIa. Balances de Potencia'!$E$47:$G$47)*G10</f>
        <v>0.31834232421484837</v>
      </c>
      <c r="H13" s="71">
        <f>'IIa. Balances de Potencia'!$E$58/SUM('IIa. Balances de Potencia'!$E$58:$G$58)*H10</f>
        <v>0.29084266369521439</v>
      </c>
      <c r="I13" s="77">
        <f>'IIa. Balances de Potencia'!$E$69/SUM('IIa. Balances de Potencia'!$E$69:$G$69)*I10</f>
        <v>0.16765631996232247</v>
      </c>
    </row>
    <row r="14" spans="1:9" ht="17.25" x14ac:dyDescent="0.35">
      <c r="A14" s="614"/>
      <c r="B14" s="67" t="s">
        <v>10</v>
      </c>
      <c r="C14" s="62" t="s">
        <v>58</v>
      </c>
      <c r="D14" s="72">
        <f>'IIa. Balances de Potencia'!$F$14/SUM('IIa. Balances de Potencia'!$E$14:$G$14)+'IIa. Balances de Potencia'!$E$14/SUM('IIa. Balances de Potencia'!$E$14:$G$14)*D11</f>
        <v>0.60822008029556662</v>
      </c>
      <c r="E14" s="72">
        <f>'IIa. Balances de Potencia'!$F$25/SUM('IIa. Balances de Potencia'!$E$25:$G$25)+'IIa. Balances de Potencia'!$E$25/SUM('IIa. Balances de Potencia'!$E$25:$G$25)*E11</f>
        <v>0.61217101386501183</v>
      </c>
      <c r="F14" s="72">
        <f>'IIa. Balances de Potencia'!$F$36/SUM('IIa. Balances de Potencia'!$E$36:$G$36)+'IIa. Balances de Potencia'!$E$36/SUM('IIa. Balances de Potencia'!$E$36:$G$36)*F11</f>
        <v>0.47220103503074784</v>
      </c>
      <c r="G14" s="72">
        <f>'IIa. Balances de Potencia'!$F$47/SUM('IIa. Balances de Potencia'!$E$47:$G$47)+'IIa. Balances de Potencia'!$E$47/SUM('IIa. Balances de Potencia'!$E$47:$G$47)*G11</f>
        <v>0.4740897828558559</v>
      </c>
      <c r="H14" s="72">
        <f>'IIa. Balances de Potencia'!$F$58/SUM('IIa. Balances de Potencia'!$E$58:$G$58)+'IIa. Balances de Potencia'!$E$58/SUM('IIa. Balances de Potencia'!$E$58:$G$58)*H11</f>
        <v>0.50575938126803588</v>
      </c>
      <c r="I14" s="78">
        <f>'IIa. Balances de Potencia'!$F$69/SUM('IIa. Balances de Potencia'!$E$69:$G$69)+'IIa. Balances de Potencia'!$E$69/SUM('IIa. Balances de Potencia'!$E$69:$G$69)*I11</f>
        <v>0.69687101371251226</v>
      </c>
    </row>
    <row r="15" spans="1:9" ht="17.25" x14ac:dyDescent="0.35">
      <c r="A15" s="613" t="s">
        <v>13</v>
      </c>
      <c r="B15" s="66" t="s">
        <v>13</v>
      </c>
      <c r="C15" s="61" t="s">
        <v>59</v>
      </c>
      <c r="D15" s="71">
        <f>'IIa. Balances de Potencia'!$G$13/SUM('IIa. Balances de Potencia'!$C$13:$G$13)</f>
        <v>6.0056815783988561E-2</v>
      </c>
      <c r="E15" s="71">
        <f>'IIa. Balances de Potencia'!$G$24/SUM('IIa. Balances de Potencia'!$C$24:$G$24)</f>
        <v>5.8838737295571604E-2</v>
      </c>
      <c r="F15" s="71">
        <f>'IIa. Balances de Potencia'!$G$35/SUM('IIa. Balances de Potencia'!$C$35:$G$35)</f>
        <v>9.0256525589405279E-2</v>
      </c>
      <c r="G15" s="71">
        <f>'IIa. Balances de Potencia'!$G$46/SUM('IIa. Balances de Potencia'!$C$46:$G$46)</f>
        <v>9.069218870434817E-2</v>
      </c>
      <c r="H15" s="71">
        <f>'IIa. Balances de Potencia'!$G$57/SUM('IIa. Balances de Potencia'!$C$57:$G$57)</f>
        <v>9.497939780241374E-2</v>
      </c>
      <c r="I15" s="77">
        <f>'IIa. Balances de Potencia'!$G$68/SUM('IIa. Balances de Potencia'!$C$68:$G$68)</f>
        <v>6.6026448448148201E-2</v>
      </c>
    </row>
    <row r="16" spans="1:9" ht="17.25" x14ac:dyDescent="0.35">
      <c r="A16" s="615"/>
      <c r="B16" s="66" t="s">
        <v>12</v>
      </c>
      <c r="C16" s="61" t="s">
        <v>60</v>
      </c>
      <c r="D16" s="71">
        <f>'IIa. Balances de Potencia'!$D$13/SUM('IIa. Balances de Potencia'!$C$13:$G$13)*$D$12</f>
        <v>4.8189422196137623E-2</v>
      </c>
      <c r="E16" s="71">
        <f>'IIa. Balances de Potencia'!$D$24/SUM('IIa. Balances de Potencia'!$C$24:$G$24)*$E$12</f>
        <v>4.8039433689426148E-2</v>
      </c>
      <c r="F16" s="71">
        <f>'IIa. Balances de Potencia'!$D$35/SUM('IIa. Balances de Potencia'!$C$35:$G$35)*$F$12</f>
        <v>6.1275150404470645E-2</v>
      </c>
      <c r="G16" s="71">
        <f>'IIa. Balances de Potencia'!$D$46/SUM('IIa. Balances de Potencia'!$C$46:$G$46)*$G$12</f>
        <v>6.170954933606277E-2</v>
      </c>
      <c r="H16" s="71">
        <f>'IIa. Balances de Potencia'!$D$57/SUM('IIa. Balances de Potencia'!$C$57:$G$57)*$H$12</f>
        <v>6.1761249286346361E-2</v>
      </c>
      <c r="I16" s="77">
        <f>'IIa. Balances de Potencia'!$D$68/SUM('IIa. Balances de Potencia'!$C$68:$G$68)*$I$12</f>
        <v>4.2041592642754859E-2</v>
      </c>
    </row>
    <row r="17" spans="1:9" ht="17.25" x14ac:dyDescent="0.35">
      <c r="A17" s="615"/>
      <c r="B17" s="66" t="s">
        <v>11</v>
      </c>
      <c r="C17" s="61" t="s">
        <v>61</v>
      </c>
      <c r="D17" s="71">
        <f>'IIa. Balances de Potencia'!$E$13/SUM('IIa. Balances de Potencia'!$C$13:$G$13)*$D$10+'IIa. Balances de Potencia'!$D$13/SUM('IIa. Balances de Potencia'!$C$13:$G$13)*$D$13</f>
        <v>0.2502357141499959</v>
      </c>
      <c r="E17" s="71">
        <f>'IIa. Balances de Potencia'!$E$24/SUM('IIa. Balances de Potencia'!$C$24:$G$24)*$E$10+'IIa. Balances de Potencia'!$D$24/SUM('IIa. Balances de Potencia'!$C$24:$G$24)*$E$13</f>
        <v>0.24594449209143693</v>
      </c>
      <c r="F17" s="71">
        <f>'IIa. Balances de Potencia'!$E$35/SUM('IIa. Balances de Potencia'!$C$35:$G$35)*$F$10+'IIa. Balances de Potencia'!$D$35/SUM('IIa. Balances de Potencia'!$C$35:$G$35)*$F$13</f>
        <v>0.3442041787561626</v>
      </c>
      <c r="G17" s="71">
        <f>'IIa. Balances de Potencia'!$E$46/SUM('IIa. Balances de Potencia'!$C$46:$G$46)*$G$10+'IIa. Balances de Potencia'!$D$46/SUM('IIa. Balances de Potencia'!$C$46:$G$46)*$G$13</f>
        <v>0.34058380154512391</v>
      </c>
      <c r="H17" s="71">
        <f>'IIa. Balances de Potencia'!$E$57/SUM('IIa. Balances de Potencia'!$C$57:$G$57)*$H$10+'IIa. Balances de Potencia'!$D$57/SUM('IIa. Balances de Potencia'!$C$57:$G$57)*$H$13</f>
        <v>0.30794362696204297</v>
      </c>
      <c r="I17" s="77">
        <f>'IIa. Balances de Potencia'!$E$68/SUM('IIa. Balances de Potencia'!$C$68:$G$68)*$I$10+'IIa. Balances de Potencia'!$D$68/SUM('IIa. Balances de Potencia'!$C$68:$G$68)*$I$13</f>
        <v>0.17300581312197516</v>
      </c>
    </row>
    <row r="18" spans="1:9" ht="15.75" x14ac:dyDescent="0.35">
      <c r="A18" s="614"/>
      <c r="B18" s="67" t="s">
        <v>10</v>
      </c>
      <c r="C18" s="62" t="s">
        <v>62</v>
      </c>
      <c r="D18" s="72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0.64151804786987787</v>
      </c>
      <c r="E18" s="72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0.64717733692356527</v>
      </c>
      <c r="F18" s="72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0.50426414524996133</v>
      </c>
      <c r="G18" s="72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0.50701446041446507</v>
      </c>
      <c r="H18" s="7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0.53531572594919685</v>
      </c>
      <c r="I18" s="78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0.71892614578712177</v>
      </c>
    </row>
    <row r="19" spans="1:9" ht="17.25" x14ac:dyDescent="0.35">
      <c r="A19" s="613" t="s">
        <v>14</v>
      </c>
      <c r="B19" s="66" t="s">
        <v>14</v>
      </c>
      <c r="C19" s="61" t="s">
        <v>63</v>
      </c>
      <c r="D19" s="71">
        <f>'IIa. Balances de Potencia'!$G$12/SUM('IIa. Balances de Potencia'!$C$12:$G$12)</f>
        <v>7.1900032100880473E-2</v>
      </c>
      <c r="E19" s="71">
        <f>'IIa. Balances de Potencia'!$G$23/SUM('IIa. Balances de Potencia'!$C$23:$G$23)</f>
        <v>6.6953892306224963E-2</v>
      </c>
      <c r="F19" s="71">
        <f>'IIa. Balances de Potencia'!$G$34/SUM('IIa. Balances de Potencia'!$C$34:$G$34)</f>
        <v>9.7895436661461374E-2</v>
      </c>
      <c r="G19" s="71">
        <f>'IIa. Balances de Potencia'!$G$45/SUM('IIa. Balances de Potencia'!$C$45:$G$45)</f>
        <v>0.10911849815111889</v>
      </c>
      <c r="H19" s="71">
        <f>'IIa. Balances de Potencia'!$G$56/SUM('IIa. Balances de Potencia'!$C$56:$G$56)</f>
        <v>0.1192134416599679</v>
      </c>
      <c r="I19" s="77">
        <f>'IIa. Balances de Potencia'!$G$67/SUM('IIa. Balances de Potencia'!$C$67:$G$67)</f>
        <v>9.3562838627855832E-2</v>
      </c>
    </row>
    <row r="20" spans="1:9" ht="17.25" x14ac:dyDescent="0.35">
      <c r="A20" s="615"/>
      <c r="B20" s="66" t="s">
        <v>13</v>
      </c>
      <c r="C20" s="61" t="s">
        <v>64</v>
      </c>
      <c r="D20" s="71">
        <f>'IIa. Balances de Potencia'!$C$12/SUM('IIa. Balances de Potencia'!$C$12:$G$12)*D15</f>
        <v>2.6497266966558984E-2</v>
      </c>
      <c r="E20" s="71">
        <f>'IIa. Balances de Potencia'!$C$23/SUM('IIa. Balances de Potencia'!$C$23:$G$23)*E15</f>
        <v>2.644877040796477E-2</v>
      </c>
      <c r="F20" s="71">
        <f>'IIa. Balances de Potencia'!$C$34/SUM('IIa. Balances de Potencia'!$C$34:$G$34)*F15</f>
        <v>3.8269572229786809E-2</v>
      </c>
      <c r="G20" s="71">
        <f>'IIa. Balances de Potencia'!$C$45/SUM('IIa. Balances de Potencia'!$C$45:$G$45)*G15</f>
        <v>3.7274272122788658E-2</v>
      </c>
      <c r="H20" s="71">
        <f>'IIa. Balances de Potencia'!$C$56/SUM('IIa. Balances de Potencia'!$C$56:$G$56)*H15</f>
        <v>4.0196008325166441E-2</v>
      </c>
      <c r="I20" s="77">
        <f>'IIa. Balances de Potencia'!$C$67/SUM('IIa. Balances de Potencia'!$C$67:$G$67)*I15</f>
        <v>2.9243937324560328E-2</v>
      </c>
    </row>
    <row r="21" spans="1:9" ht="17.25" x14ac:dyDescent="0.35">
      <c r="A21" s="615"/>
      <c r="B21" s="66" t="s">
        <v>12</v>
      </c>
      <c r="C21" s="61" t="s">
        <v>65</v>
      </c>
      <c r="D21" s="71">
        <f>'IIa. Balances de Potencia'!$D$12/SUM('IIa. Balances de Potencia'!$C$12:$G$12)*D12+'IIa. Balances de Potencia'!$C$12/SUM('IIa. Balances de Potencia'!$C$12:$G$12)*D16</f>
        <v>5.9155713223477291E-2</v>
      </c>
      <c r="E21" s="71">
        <f>'IIa. Balances de Potencia'!$D$23/SUM('IIa. Balances de Potencia'!$C$23:$G$23)*E12+'IIa. Balances de Potencia'!$C$23/SUM('IIa. Balances de Potencia'!$C$23:$G$23)*E16</f>
        <v>6.0410578100223586E-2</v>
      </c>
      <c r="F21" s="71">
        <f>'IIa. Balances de Potencia'!$D$34/SUM('IIa. Balances de Potencia'!$C$34:$G$34)*F12+'IIa. Balances de Potencia'!$C$34/SUM('IIa. Balances de Potencia'!$C$34:$G$34)*F16</f>
        <v>7.3530183169176949E-2</v>
      </c>
      <c r="G21" s="71">
        <f>'IIa. Balances de Potencia'!$D$45/SUM('IIa. Balances de Potencia'!$C$45:$G$45)*G12+'IIa. Balances de Potencia'!$C$45/SUM('IIa. Balances de Potencia'!$C$45:$G$45)*G16</f>
        <v>7.2743878139669912E-2</v>
      </c>
      <c r="H21" s="71">
        <f>'IIa. Balances de Potencia'!$D$56/SUM('IIa. Balances de Potencia'!$C$56:$G$56)*H12+'IIa. Balances de Potencia'!$C$56/SUM('IIa. Balances de Potencia'!$C$56:$G$56)*H16</f>
        <v>7.2947929391979069E-2</v>
      </c>
      <c r="I21" s="77">
        <f>'IIa. Balances de Potencia'!$D$67/SUM('IIa. Balances de Potencia'!$C$67:$G$67)*I12+'IIa. Balances de Potencia'!$C$67/SUM('IIa. Balances de Potencia'!$C$67:$G$67)*I16</f>
        <v>4.8149320362373571E-2</v>
      </c>
    </row>
    <row r="22" spans="1:9" ht="17.25" x14ac:dyDescent="0.35">
      <c r="A22" s="615"/>
      <c r="B22" s="66" t="s">
        <v>11</v>
      </c>
      <c r="C22" s="61" t="s">
        <v>66</v>
      </c>
      <c r="D22" s="71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0.23639322951648273</v>
      </c>
      <c r="E22" s="71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0.2330128539853803</v>
      </c>
      <c r="F22" s="71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0.32060025932668296</v>
      </c>
      <c r="G22" s="71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0.3137603335922195</v>
      </c>
      <c r="H22" s="7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0.28032250402688086</v>
      </c>
      <c r="I22" s="77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0.16080432876321582</v>
      </c>
    </row>
    <row r="23" spans="1:9" ht="17.649999999999999" thickBot="1" x14ac:dyDescent="0.4">
      <c r="A23" s="616"/>
      <c r="B23" s="68" t="s">
        <v>10</v>
      </c>
      <c r="C23" s="63" t="s">
        <v>67</v>
      </c>
      <c r="D23" s="73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0.60605375819260054</v>
      </c>
      <c r="E23" s="73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0.61317390520020632</v>
      </c>
      <c r="F23" s="73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0.4697045486128919</v>
      </c>
      <c r="G23" s="73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0.46710301799420295</v>
      </c>
      <c r="H23" s="7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0.48732011659600571</v>
      </c>
      <c r="I23" s="79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0.66823957492199448</v>
      </c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I25"/>
  <sheetViews>
    <sheetView showGridLines="0" topLeftCell="A8" workbookViewId="0">
      <selection activeCell="N6" sqref="N6"/>
    </sheetView>
  </sheetViews>
  <sheetFormatPr baseColWidth="10" defaultRowHeight="12.75" x14ac:dyDescent="0.35"/>
  <cols>
    <col min="1" max="1" width="14.1328125" customWidth="1"/>
    <col min="2" max="2" width="11.3984375" customWidth="1"/>
    <col min="3" max="3" width="13.39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.75" customHeight="1" x14ac:dyDescent="0.35">
      <c r="A6" s="617" t="s">
        <v>185</v>
      </c>
      <c r="B6" s="617"/>
      <c r="C6" s="617"/>
      <c r="D6" s="617"/>
      <c r="E6" s="617"/>
      <c r="F6" s="617"/>
      <c r="G6" s="617"/>
      <c r="H6" s="617"/>
      <c r="I6" s="617"/>
    </row>
    <row r="7" spans="1:9" ht="13.15" thickBot="1" x14ac:dyDescent="0.4"/>
    <row r="8" spans="1:9" ht="25.5" x14ac:dyDescent="0.35">
      <c r="A8" s="57" t="s">
        <v>52</v>
      </c>
      <c r="B8" s="64" t="s">
        <v>68</v>
      </c>
      <c r="C8" s="58" t="s">
        <v>51</v>
      </c>
      <c r="D8" s="64" t="s">
        <v>15</v>
      </c>
      <c r="E8" s="64" t="s">
        <v>16</v>
      </c>
      <c r="F8" s="64" t="s">
        <v>17</v>
      </c>
      <c r="G8" s="64" t="s">
        <v>18</v>
      </c>
      <c r="H8" s="64" t="s">
        <v>19</v>
      </c>
      <c r="I8" s="69" t="s">
        <v>20</v>
      </c>
    </row>
    <row r="9" spans="1:9" ht="18" x14ac:dyDescent="0.35">
      <c r="A9" s="59" t="s">
        <v>10</v>
      </c>
      <c r="B9" s="65" t="s">
        <v>10</v>
      </c>
      <c r="C9" s="60" t="s">
        <v>53</v>
      </c>
      <c r="D9" s="70">
        <v>1</v>
      </c>
      <c r="E9" s="70">
        <v>1</v>
      </c>
      <c r="F9" s="70">
        <v>1</v>
      </c>
      <c r="G9" s="70">
        <v>1</v>
      </c>
      <c r="H9" s="70">
        <v>1</v>
      </c>
      <c r="I9" s="76">
        <v>1</v>
      </c>
    </row>
    <row r="10" spans="1:9" ht="18" x14ac:dyDescent="0.35">
      <c r="A10" s="613" t="s">
        <v>11</v>
      </c>
      <c r="B10" s="66" t="s">
        <v>11</v>
      </c>
      <c r="C10" s="61" t="s">
        <v>54</v>
      </c>
      <c r="D10" s="71">
        <f>'IIb. Balances de energía'!$G$15/('IIb. Balances de energía'!$F$15+'IIb. Balances de energía'!$G$15)</f>
        <v>0.34542704917353567</v>
      </c>
      <c r="E10" s="71">
        <f>'IIb. Balances de energía'!$G$26/('IIb. Balances de energía'!$F$26+'IIb. Balances de energía'!$G$26)</f>
        <v>0.3505580396640437</v>
      </c>
      <c r="F10" s="71">
        <f>'IIb. Balances de energía'!$G$37/('IIb. Balances de energía'!$F$37+'IIb. Balances de energía'!$G$37)</f>
        <v>0.39239822401043795</v>
      </c>
      <c r="G10" s="71">
        <f>'IIb. Balances de energía'!$G$48/('IIb. Balances de energía'!$F$48+'IIb. Balances de energía'!$G$48)</f>
        <v>0.39490521999250183</v>
      </c>
      <c r="H10" s="71">
        <f>'IIb. Balances de energía'!$G$59/('IIb. Balances de energía'!$F$59+'IIb. Balances de energía'!$G$59)</f>
        <v>0.39612724687676054</v>
      </c>
      <c r="I10" s="77">
        <f>'IIb. Balances de energía'!$G$70/('IIb. Balances de energía'!$F$70+'IIb. Balances de energía'!$G$70)</f>
        <v>0.36835497559075409</v>
      </c>
    </row>
    <row r="11" spans="1:9" ht="18" x14ac:dyDescent="0.35">
      <c r="A11" s="614"/>
      <c r="B11" s="67" t="s">
        <v>10</v>
      </c>
      <c r="C11" s="62" t="s">
        <v>55</v>
      </c>
      <c r="D11" s="72">
        <f>'IIb. Balances de energía'!$F$15/('IIb. Balances de energía'!$F$15+'IIb. Balances de energía'!$G$15)</f>
        <v>0.65457295082646427</v>
      </c>
      <c r="E11" s="72">
        <f>'IIb. Balances de energía'!$F$26/('IIb. Balances de energía'!$F$26+'IIb. Balances de energía'!$G$26)</f>
        <v>0.64944196033595625</v>
      </c>
      <c r="F11" s="72">
        <f>'IIb. Balances de energía'!$F$37/('IIb. Balances de energía'!$F$37+'IIb. Balances de energía'!$G$37)</f>
        <v>0.60760177598956211</v>
      </c>
      <c r="G11" s="72">
        <f>'IIb. Balances de energía'!$F$48/('IIb. Balances de energía'!$F$48+'IIb. Balances de energía'!$G$48)</f>
        <v>0.60509478000749817</v>
      </c>
      <c r="H11" s="72">
        <f>'IIb. Balances de energía'!$F$59/('IIb. Balances de energía'!$F$59+'IIb. Balances de energía'!$G$59)</f>
        <v>0.60387275312323951</v>
      </c>
      <c r="I11" s="78">
        <f>'IIb. Balances de energía'!$F$70/('IIb. Balances de energía'!$F$70+'IIb. Balances de energía'!$G$70)</f>
        <v>0.63164502440924575</v>
      </c>
    </row>
    <row r="12" spans="1:9" ht="17.25" x14ac:dyDescent="0.35">
      <c r="A12" s="613" t="s">
        <v>12</v>
      </c>
      <c r="B12" s="66" t="s">
        <v>12</v>
      </c>
      <c r="C12" s="61" t="s">
        <v>56</v>
      </c>
      <c r="D12" s="71">
        <f>'IIb. Balances de energía'!$G$14/SUM('IIb. Balances de energía'!$E$14:$G$14)</f>
        <v>0.18861973100435941</v>
      </c>
      <c r="E12" s="71">
        <f>'IIb. Balances de energía'!$G$25/SUM('IIb. Balances de energía'!$E$25:$G$25)</f>
        <v>0.20118536253611852</v>
      </c>
      <c r="F12" s="71">
        <f>'IIb. Balances de energía'!$G$36/SUM('IIb. Balances de energía'!$E$36:$G$36)</f>
        <v>0.21494150205196724</v>
      </c>
      <c r="G12" s="71">
        <f>'IIb. Balances de energía'!$G$47/SUM('IIb. Balances de energía'!$E$47:$G$47)</f>
        <v>0.22121530412529553</v>
      </c>
      <c r="H12" s="71">
        <f>'IIb. Balances de energía'!$G$58/SUM('IIb. Balances de energía'!$E$58:$G$58)</f>
        <v>0.2314411255741036</v>
      </c>
      <c r="I12" s="77">
        <f>'IIb. Balances de energía'!$G$69/SUM('IIb. Balances de energía'!$E$69:$G$69)</f>
        <v>0.23168323344444436</v>
      </c>
    </row>
    <row r="13" spans="1:9" ht="17.25" x14ac:dyDescent="0.35">
      <c r="A13" s="615"/>
      <c r="B13" s="66" t="s">
        <v>11</v>
      </c>
      <c r="C13" s="61" t="s">
        <v>57</v>
      </c>
      <c r="D13" s="71">
        <f>'IIb. Balances de energía'!$E$14/SUM('IIb. Balances de energía'!$E$14:$G$14)*D10</f>
        <v>0.28018799549985302</v>
      </c>
      <c r="E13" s="71">
        <f>'IIb. Balances de energía'!$E$25/SUM('IIb. Balances de energía'!$E$25:$G$25)*E10</f>
        <v>0.27994596821830586</v>
      </c>
      <c r="F13" s="71">
        <f>'IIb. Balances de energía'!$E$36/SUM('IIb. Balances de energía'!$E$36:$G$36)*F10</f>
        <v>0.30795946311082967</v>
      </c>
      <c r="G13" s="71">
        <f>'IIb. Balances de energía'!$E$47/SUM('IIb. Balances de energía'!$E$47:$G$47)*G10</f>
        <v>0.30745053250727128</v>
      </c>
      <c r="H13" s="71">
        <f>'IIb. Balances de energía'!$E$58/SUM('IIb. Balances de energía'!$E$58:$G$58)*H10</f>
        <v>0.30435526073410374</v>
      </c>
      <c r="I13" s="77">
        <f>'IIb. Balances de energía'!$E$69/SUM('IIb. Balances de energía'!$E$69:$G$69)*I10</f>
        <v>0.28293035349587797</v>
      </c>
    </row>
    <row r="14" spans="1:9" ht="17.25" x14ac:dyDescent="0.35">
      <c r="A14" s="614"/>
      <c r="B14" s="67" t="s">
        <v>10</v>
      </c>
      <c r="C14" s="62" t="s">
        <v>58</v>
      </c>
      <c r="D14" s="72">
        <f>'IIb. Balances de energía'!$F$14/SUM('IIb. Balances de energía'!$E$14:$G$14)+'IIb. Balances de energía'!$E$14/SUM('IIb. Balances de energía'!$E$14:$G$14)*D11</f>
        <v>0.53119227349578746</v>
      </c>
      <c r="E14" s="72">
        <f>'IIb. Balances de energía'!$F$25/SUM('IIb. Balances de energía'!$E$25:$G$25)+'IIb. Balances de energía'!$E$25/SUM('IIb. Balances de energía'!$E$25:$G$25)*E11</f>
        <v>0.51886866924557551</v>
      </c>
      <c r="F14" s="72">
        <f>'IIb. Balances de energía'!$F$36/SUM('IIb. Balances de energía'!$E$36:$G$36)+'IIb. Balances de energía'!$E$36/SUM('IIb. Balances de energía'!$E$36:$G$36)*F11</f>
        <v>0.47709903483720306</v>
      </c>
      <c r="G14" s="72">
        <f>'IIb. Balances de energía'!$F$47/SUM('IIb. Balances de energía'!$E$47:$G$47)+'IIb. Balances de energía'!$E$47/SUM('IIb. Balances de energía'!$E$47:$G$47)*G11</f>
        <v>0.47133416336743322</v>
      </c>
      <c r="H14" s="72">
        <f>'IIb. Balances de energía'!$F$58/SUM('IIb. Balances de energía'!$E$58:$G$58)+'IIb. Balances de energía'!$E$58/SUM('IIb. Balances de energía'!$E$58:$G$58)*H11</f>
        <v>0.46420361369179269</v>
      </c>
      <c r="I14" s="78">
        <f>'IIb. Balances de energía'!$F$69/SUM('IIb. Balances de energía'!$E$69:$G$69)+'IIb. Balances de energía'!$E$69/SUM('IIb. Balances de energía'!$E$69:$G$69)*I11</f>
        <v>0.4853864130596775</v>
      </c>
    </row>
    <row r="15" spans="1:9" ht="17.25" x14ac:dyDescent="0.35">
      <c r="A15" s="613" t="s">
        <v>13</v>
      </c>
      <c r="B15" s="66" t="s">
        <v>13</v>
      </c>
      <c r="C15" s="61" t="s">
        <v>59</v>
      </c>
      <c r="D15" s="71">
        <f>'IIb. Balances de energía'!$G$13/SUM('IIb. Balances de energía'!$C$13:$G$13)</f>
        <v>8.1404977949831939E-2</v>
      </c>
      <c r="E15" s="71">
        <f>'IIb. Balances de energía'!$G$24/SUM('IIb. Balances de energía'!$C$24:$G$24)</f>
        <v>8.7993583006148041E-2</v>
      </c>
      <c r="F15" s="71">
        <f>'IIb. Balances de energía'!$G$35/SUM('IIb. Balances de energía'!$C$35:$G$35)</f>
        <v>9.6913071245521842E-2</v>
      </c>
      <c r="G15" s="71">
        <f>'IIb. Balances de energía'!$G$46/SUM('IIb. Balances de energía'!$C$46:$G$46)</f>
        <v>0.100418347628713</v>
      </c>
      <c r="H15" s="71">
        <f>'IIb. Balances de energía'!$G$57/SUM('IIb. Balances de energía'!$C$57:$G$57)</f>
        <v>0.10688686225374382</v>
      </c>
      <c r="I15" s="77">
        <f>'IIb. Balances de energía'!$G$68/SUM('IIb. Balances de energía'!$C$68:$G$68)</f>
        <v>0.122682367300239</v>
      </c>
    </row>
    <row r="16" spans="1:9" ht="17.25" x14ac:dyDescent="0.35">
      <c r="A16" s="615"/>
      <c r="B16" s="66" t="s">
        <v>12</v>
      </c>
      <c r="C16" s="61" t="s">
        <v>60</v>
      </c>
      <c r="D16" s="71">
        <f>'IIb. Balances de energía'!$D$13/SUM('IIb. Balances de energía'!$C$13:$G$13)*$D$12</f>
        <v>5.755045388920229E-2</v>
      </c>
      <c r="E16" s="71">
        <f>'IIb. Balances de energía'!$D$24/SUM('IIb. Balances de energía'!$C$24:$G$24)*$E$12</f>
        <v>6.1654251114006603E-2</v>
      </c>
      <c r="F16" s="71">
        <f>'IIb. Balances de energía'!$D$35/SUM('IIb. Balances de energía'!$C$35:$G$35)*$F$12</f>
        <v>6.5057883785356693E-2</v>
      </c>
      <c r="G16" s="71">
        <f>'IIb. Balances de energía'!$D$46/SUM('IIb. Balances de energía'!$C$46:$G$46)*$G$12</f>
        <v>6.6998675682227019E-2</v>
      </c>
      <c r="H16" s="71">
        <f>'IIb. Balances de energía'!$D$57/SUM('IIb. Balances de energía'!$C$57:$G$57)*$H$12</f>
        <v>7.0375147986936643E-2</v>
      </c>
      <c r="I16" s="77">
        <f>'IIb. Balances de energía'!$D$68/SUM('IIb. Balances de energía'!$C$68:$G$68)*$I$12</f>
        <v>6.9525772151461399E-2</v>
      </c>
    </row>
    <row r="17" spans="1:9" ht="17.25" x14ac:dyDescent="0.35">
      <c r="A17" s="615"/>
      <c r="B17" s="66" t="s">
        <v>11</v>
      </c>
      <c r="C17" s="61" t="s">
        <v>61</v>
      </c>
      <c r="D17" s="71">
        <f>'IIb. Balances de energía'!$E$13/SUM('IIb. Balances de energía'!$C$13:$G$13)*$D$10+'IIb. Balances de energía'!$D$13/SUM('IIb. Balances de energía'!$C$13:$G$13)*$D$13</f>
        <v>0.29740224230532497</v>
      </c>
      <c r="E17" s="71">
        <f>'IIb. Balances de energía'!$E$24/SUM('IIb. Balances de energía'!$C$24:$G$24)*$E$10+'IIb. Balances de energía'!$D$24/SUM('IIb. Balances de energía'!$C$24:$G$24)*$E$13</f>
        <v>0.29807176256316964</v>
      </c>
      <c r="F17" s="71">
        <f>'IIb. Balances de energía'!$E$35/SUM('IIb. Balances de energía'!$C$35:$G$35)*$F$10+'IIb. Balances de energía'!$D$35/SUM('IIb. Balances de energía'!$C$35:$G$35)*$F$13</f>
        <v>0.32881202247873786</v>
      </c>
      <c r="G17" s="71">
        <f>'IIb. Balances de energía'!$E$46/SUM('IIb. Balances de energía'!$C$46:$G$46)*$G$10+'IIb. Balances de energía'!$D$46/SUM('IIb. Balances de energía'!$C$46:$G$46)*$G$13</f>
        <v>0.32876240677724822</v>
      </c>
      <c r="H17" s="71">
        <f>'IIb. Balances de energía'!$E$57/SUM('IIb. Balances de energía'!$C$57:$G$57)*$H$10+'IIb. Balances de energía'!$D$57/SUM('IIb. Balances de energía'!$C$57:$G$57)*$H$13</f>
        <v>0.32588100554194122</v>
      </c>
      <c r="I17" s="77">
        <f>'IIb. Balances de energía'!$E$68/SUM('IIb. Balances de energía'!$C$68:$G$68)*$I$10+'IIb. Balances de energía'!$D$68/SUM('IIb. Balances de energía'!$C$68:$G$68)*$I$13</f>
        <v>0.29752925853843104</v>
      </c>
    </row>
    <row r="18" spans="1:9" ht="15.75" x14ac:dyDescent="0.35">
      <c r="A18" s="614"/>
      <c r="B18" s="67" t="s">
        <v>10</v>
      </c>
      <c r="C18" s="62" t="s">
        <v>62</v>
      </c>
      <c r="D18" s="72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0.56364232585564078</v>
      </c>
      <c r="E18" s="72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0.55228040331667561</v>
      </c>
      <c r="F18" s="72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0.5092170224903837</v>
      </c>
      <c r="G18" s="72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0.50382056991181157</v>
      </c>
      <c r="H18" s="7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0.49685698421737834</v>
      </c>
      <c r="I18" s="78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0.51026260200986828</v>
      </c>
    </row>
    <row r="19" spans="1:9" ht="17.25" x14ac:dyDescent="0.35">
      <c r="A19" s="613" t="s">
        <v>14</v>
      </c>
      <c r="B19" s="66" t="s">
        <v>14</v>
      </c>
      <c r="C19" s="61" t="s">
        <v>63</v>
      </c>
      <c r="D19" s="71">
        <f>'IIb. Balances de energía'!$G$12/SUM('IIb. Balances de energía'!$C$12:$G$12)</f>
        <v>9.1036227711661366E-2</v>
      </c>
      <c r="E19" s="71">
        <f>'IIb. Balances de energía'!$G$23/SUM('IIb. Balances de energía'!$C$23:$G$23)</f>
        <v>0.10384716691290757</v>
      </c>
      <c r="F19" s="71">
        <f>'IIb. Balances de energía'!$G$34/SUM('IIb. Balances de energía'!$C$34:$G$34)</f>
        <v>0.11265926709094508</v>
      </c>
      <c r="G19" s="71">
        <f>'IIb. Balances de energía'!$G$45/SUM('IIb. Balances de energía'!$C$45:$G$45)</f>
        <v>0.11885845310313194</v>
      </c>
      <c r="H19" s="71">
        <f>'IIb. Balances de energía'!$G$56/SUM('IIb. Balances de energía'!$C$56:$G$56)</f>
        <v>0.13232930588274811</v>
      </c>
      <c r="I19" s="77">
        <f>'IIb. Balances de energía'!$G$67/SUM('IIb. Balances de energía'!$C$67:$G$67)</f>
        <v>0.15529282758693699</v>
      </c>
    </row>
    <row r="20" spans="1:9" ht="17.25" x14ac:dyDescent="0.35">
      <c r="A20" s="615"/>
      <c r="B20" s="66" t="s">
        <v>13</v>
      </c>
      <c r="C20" s="61" t="s">
        <v>64</v>
      </c>
      <c r="D20" s="71">
        <f>'IIb. Balances de energía'!$C$12/SUM('IIb. Balances de energía'!$C$12:$G$12)*D15</f>
        <v>3.4320752451543861E-2</v>
      </c>
      <c r="E20" s="71">
        <f>'IIb. Balances de energía'!$C$23/SUM('IIb. Balances de energía'!$C$23:$G$23)*E15</f>
        <v>3.6871464292270451E-2</v>
      </c>
      <c r="F20" s="71">
        <f>'IIb. Balances de energía'!$C$34/SUM('IIb. Balances de energía'!$C$34:$G$34)*F15</f>
        <v>4.1023581179183859E-2</v>
      </c>
      <c r="G20" s="71">
        <f>'IIb. Balances de energía'!$C$45/SUM('IIb. Balances de energía'!$C$45:$G$45)*G15</f>
        <v>4.2295165186208676E-2</v>
      </c>
      <c r="H20" s="71">
        <f>'IIb. Balances de energía'!$C$56/SUM('IIb. Balances de energía'!$C$56:$G$56)*H15</f>
        <v>4.4288717672038652E-2</v>
      </c>
      <c r="I20" s="77">
        <f>'IIb. Balances de energía'!$C$67/SUM('IIb. Balances de energía'!$C$67:$G$67)*I15</f>
        <v>5.010114919644075E-2</v>
      </c>
    </row>
    <row r="21" spans="1:9" ht="17.25" x14ac:dyDescent="0.35">
      <c r="A21" s="615"/>
      <c r="B21" s="66" t="s">
        <v>12</v>
      </c>
      <c r="C21" s="61" t="s">
        <v>65</v>
      </c>
      <c r="D21" s="71">
        <f>'IIb. Balances de energía'!$D$12/SUM('IIb. Balances de energía'!$C$12:$G$12)*D12+'IIb. Balances de energía'!$C$12/SUM('IIb. Balances de energía'!$C$12:$G$12)*D16</f>
        <v>7.1049233685492472E-2</v>
      </c>
      <c r="E21" s="71">
        <f>'IIb. Balances de energía'!$D$23/SUM('IIb. Balances de energía'!$C$23:$G$23)*E12+'IIb. Balances de energía'!$C$23/SUM('IIb. Balances de energía'!$C$23:$G$23)*E16</f>
        <v>7.4734456037790761E-2</v>
      </c>
      <c r="F21" s="71">
        <f>'IIb. Balances de energía'!$D$34/SUM('IIb. Balances de energía'!$C$34:$G$34)*F12+'IIb. Balances de energía'!$C$34/SUM('IIb. Balances de energía'!$C$34:$G$34)*F16</f>
        <v>7.8496497506086671E-2</v>
      </c>
      <c r="G21" s="71">
        <f>'IIb. Balances de energía'!$D$45/SUM('IIb. Balances de energía'!$C$45:$G$45)*G12+'IIb. Balances de energía'!$C$45/SUM('IIb. Balances de energía'!$C$45:$G$45)*G16</f>
        <v>8.03003011244669E-2</v>
      </c>
      <c r="H21" s="71">
        <f>'IIb. Balances de energía'!$D$56/SUM('IIb. Balances de energía'!$C$56:$G$56)*H12+'IIb. Balances de energía'!$C$56/SUM('IIb. Balances de energía'!$C$56:$G$56)*H16</f>
        <v>8.2520731831404542E-2</v>
      </c>
      <c r="I21" s="77">
        <f>'IIb. Balances de energía'!$D$67/SUM('IIb. Balances de energía'!$C$67:$G$67)*I12+'IIb. Balances de energía'!$C$67/SUM('IIb. Balances de energía'!$C$67:$G$67)*I16</f>
        <v>7.9699348101854889E-2</v>
      </c>
    </row>
    <row r="22" spans="1:9" ht="17.25" x14ac:dyDescent="0.35">
      <c r="A22" s="615"/>
      <c r="B22" s="66" t="s">
        <v>11</v>
      </c>
      <c r="C22" s="61" t="s">
        <v>66</v>
      </c>
      <c r="D22" s="71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0.27755112679875171</v>
      </c>
      <c r="E22" s="71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0.27499768056197682</v>
      </c>
      <c r="F22" s="71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0.30125636643034176</v>
      </c>
      <c r="G22" s="71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0.29951910107831281</v>
      </c>
      <c r="H22" s="7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0.29344257578001076</v>
      </c>
      <c r="I22" s="77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0.26331089584713813</v>
      </c>
    </row>
    <row r="23" spans="1:9" ht="17.649999999999999" thickBot="1" x14ac:dyDescent="0.4">
      <c r="A23" s="616"/>
      <c r="B23" s="68" t="s">
        <v>10</v>
      </c>
      <c r="C23" s="63" t="s">
        <v>67</v>
      </c>
      <c r="D23" s="73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0.52604265935255057</v>
      </c>
      <c r="E23" s="73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0.50954923219505432</v>
      </c>
      <c r="F23" s="73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0.46656428779344261</v>
      </c>
      <c r="G23" s="73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0.45902697950787963</v>
      </c>
      <c r="H23" s="7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0.44741866883379811</v>
      </c>
      <c r="I23" s="79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0.45159577926762906</v>
      </c>
    </row>
    <row r="25" spans="1:9" x14ac:dyDescent="0.35">
      <c r="D25" s="75"/>
      <c r="E25" s="75"/>
      <c r="F25" s="75"/>
      <c r="G25" s="75"/>
      <c r="H25" s="75"/>
      <c r="I25" s="75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>
      <selection activeCell="J95" sqref="J95"/>
    </sheetView>
  </sheetViews>
  <sheetFormatPr baseColWidth="10" defaultColWidth="11.3984375" defaultRowHeight="12.75" x14ac:dyDescent="0.35"/>
  <cols>
    <col min="1" max="1" width="13.86328125" style="80" customWidth="1"/>
    <col min="2" max="8" width="13.73046875" style="80" customWidth="1"/>
    <col min="9" max="9" width="11.86328125" style="80" bestFit="1" customWidth="1"/>
    <col min="10" max="10" width="13.86328125" style="80" bestFit="1" customWidth="1"/>
    <col min="11" max="11" width="11.3984375" style="80"/>
    <col min="12" max="12" width="11.86328125" style="80" bestFit="1" customWidth="1"/>
    <col min="13" max="16384" width="11.3984375" style="80"/>
  </cols>
  <sheetData>
    <row r="1" spans="1:10" s="1" customFormat="1" x14ac:dyDescent="0.35"/>
    <row r="2" spans="1:10" s="1" customFormat="1" x14ac:dyDescent="0.35"/>
    <row r="3" spans="1:10" s="1" customFormat="1" x14ac:dyDescent="0.35"/>
    <row r="4" spans="1:10" s="1" customFormat="1" x14ac:dyDescent="0.35"/>
    <row r="5" spans="1:10" s="1" customFormat="1" x14ac:dyDescent="0.35"/>
    <row r="6" spans="1:10" s="369" customFormat="1" ht="30" customHeight="1" x14ac:dyDescent="0.35">
      <c r="A6" s="369" t="s">
        <v>186</v>
      </c>
    </row>
    <row r="7" spans="1:10" ht="7.5" customHeight="1" thickBot="1" x14ac:dyDescent="0.4"/>
    <row r="8" spans="1:10" ht="24" customHeight="1" x14ac:dyDescent="0.35">
      <c r="D8" s="90" t="s">
        <v>24</v>
      </c>
      <c r="E8" s="92" t="s">
        <v>81</v>
      </c>
      <c r="F8" s="93"/>
      <c r="G8" s="93"/>
      <c r="H8" s="94"/>
      <c r="J8" s="618" t="s">
        <v>90</v>
      </c>
    </row>
    <row r="9" spans="1:10" ht="24" customHeight="1" thickBot="1" x14ac:dyDescent="0.4">
      <c r="D9" s="91" t="s">
        <v>14</v>
      </c>
      <c r="E9" s="95" t="s">
        <v>13</v>
      </c>
      <c r="F9" s="96" t="s">
        <v>82</v>
      </c>
      <c r="G9" s="96" t="s">
        <v>83</v>
      </c>
      <c r="H9" s="97" t="s">
        <v>10</v>
      </c>
      <c r="J9" s="619"/>
    </row>
    <row r="10" spans="1:10" s="81" customFormat="1" ht="42" customHeight="1" x14ac:dyDescent="0.35">
      <c r="A10" s="628" t="s">
        <v>84</v>
      </c>
      <c r="B10" s="629"/>
      <c r="C10" s="630"/>
      <c r="D10" s="82">
        <f>'I. Datos de entrada'!C14</f>
        <v>1183148.3545338453</v>
      </c>
      <c r="E10" s="83">
        <f>'I. Datos de entrada'!$C$32*E11</f>
        <v>493438.21130710223</v>
      </c>
      <c r="F10" s="84">
        <f>'I. Datos de entrada'!$C$32*F11</f>
        <v>603033.43508162699</v>
      </c>
      <c r="G10" s="84">
        <f>'I. Datos de entrada'!$C$32*G11</f>
        <v>2107240.8666030671</v>
      </c>
      <c r="H10" s="85">
        <f>'I. Datos de entrada'!$C$32*H11</f>
        <v>1990373.9218198059</v>
      </c>
      <c r="J10" s="553">
        <f>SUM(D10:H10)</f>
        <v>6377234.7893454479</v>
      </c>
    </row>
    <row r="11" spans="1:10" s="28" customFormat="1" ht="42" customHeight="1" thickBot="1" x14ac:dyDescent="0.4">
      <c r="A11" s="631" t="s">
        <v>85</v>
      </c>
      <c r="B11" s="632"/>
      <c r="C11" s="633"/>
      <c r="D11" s="86">
        <v>1</v>
      </c>
      <c r="E11" s="87">
        <f>'I. Datos de entrada'!B50</f>
        <v>9.5000000000000001E-2</v>
      </c>
      <c r="F11" s="88">
        <f>'I. Datos de entrada'!B49</f>
        <v>0.11609999999999999</v>
      </c>
      <c r="G11" s="88">
        <f>'I. Datos de entrada'!B48</f>
        <v>0.40570000000000001</v>
      </c>
      <c r="H11" s="89">
        <f>'I. Datos de entrada'!B47</f>
        <v>0.38319999999999999</v>
      </c>
      <c r="J11" s="137"/>
    </row>
    <row r="14" spans="1:10" s="369" customFormat="1" ht="30" customHeight="1" x14ac:dyDescent="0.35">
      <c r="A14" s="369" t="s">
        <v>187</v>
      </c>
    </row>
    <row r="15" spans="1:10" ht="13.15" thickBot="1" x14ac:dyDescent="0.4"/>
    <row r="16" spans="1:10" ht="24" customHeight="1" x14ac:dyDescent="0.35">
      <c r="D16" s="90" t="s">
        <v>24</v>
      </c>
      <c r="E16" s="92" t="s">
        <v>81</v>
      </c>
      <c r="F16" s="93"/>
      <c r="G16" s="93"/>
      <c r="H16" s="94"/>
      <c r="J16" s="618" t="s">
        <v>90</v>
      </c>
    </row>
    <row r="17" spans="1:12" ht="24" customHeight="1" thickBot="1" x14ac:dyDescent="0.4">
      <c r="D17" s="133" t="s">
        <v>14</v>
      </c>
      <c r="E17" s="134" t="s">
        <v>13</v>
      </c>
      <c r="F17" s="135" t="s">
        <v>82</v>
      </c>
      <c r="G17" s="135" t="s">
        <v>83</v>
      </c>
      <c r="H17" s="136" t="s">
        <v>10</v>
      </c>
      <c r="J17" s="619"/>
    </row>
    <row r="18" spans="1:12" ht="13.15" thickBot="1" x14ac:dyDescent="0.4"/>
    <row r="19" spans="1:12" ht="45.75" customHeight="1" x14ac:dyDescent="0.35">
      <c r="A19" s="622" t="s">
        <v>86</v>
      </c>
      <c r="B19" s="623"/>
      <c r="C19" s="624"/>
      <c r="D19" s="99">
        <f>'I. Datos de entrada'!$B$65</f>
        <v>0.75</v>
      </c>
      <c r="E19" s="100">
        <f>'I. Datos de entrada'!$B$64</f>
        <v>0.75</v>
      </c>
      <c r="F19" s="100">
        <f>'I. Datos de entrada'!$B$63</f>
        <v>0.75</v>
      </c>
      <c r="G19" s="100">
        <f>'I. Datos de entrada'!$B$62</f>
        <v>0.75</v>
      </c>
      <c r="H19" s="101">
        <f>'I. Datos de entrada'!$B$61</f>
        <v>1</v>
      </c>
      <c r="J19" s="102">
        <f>J20/SUM(D10:H10)</f>
        <v>0.8280265266830521</v>
      </c>
    </row>
    <row r="20" spans="1:12" ht="42.75" customHeight="1" thickBot="1" x14ac:dyDescent="0.4">
      <c r="A20" s="625" t="s">
        <v>87</v>
      </c>
      <c r="B20" s="626"/>
      <c r="C20" s="627"/>
      <c r="D20" s="103">
        <f>D10*D19</f>
        <v>887361.26590038394</v>
      </c>
      <c r="E20" s="104">
        <f>E10*E19</f>
        <v>370078.65848032665</v>
      </c>
      <c r="F20" s="104">
        <f>F10*F19</f>
        <v>452275.07631122024</v>
      </c>
      <c r="G20" s="104">
        <f>G10*G19</f>
        <v>1580430.6499523004</v>
      </c>
      <c r="H20" s="105">
        <f>H10*H19</f>
        <v>1990373.9218198059</v>
      </c>
      <c r="J20" s="106">
        <f>SUM(D20:H20)</f>
        <v>5280519.5724640368</v>
      </c>
    </row>
    <row r="21" spans="1:12" ht="9.75" customHeight="1" thickBot="1" x14ac:dyDescent="0.4">
      <c r="A21" s="107"/>
      <c r="D21" s="107"/>
      <c r="E21" s="107"/>
      <c r="F21" s="107"/>
      <c r="G21" s="107"/>
      <c r="H21" s="107"/>
      <c r="J21" s="107"/>
    </row>
    <row r="22" spans="1:12" ht="43.5" customHeight="1" x14ac:dyDescent="0.35">
      <c r="A22" s="622" t="s">
        <v>88</v>
      </c>
      <c r="B22" s="623"/>
      <c r="C22" s="624"/>
      <c r="D22" s="99">
        <f>1-D19</f>
        <v>0.25</v>
      </c>
      <c r="E22" s="100">
        <f>1-E19</f>
        <v>0.25</v>
      </c>
      <c r="F22" s="100">
        <f>1-F19</f>
        <v>0.25</v>
      </c>
      <c r="G22" s="100">
        <f>1-G19</f>
        <v>0.25</v>
      </c>
      <c r="H22" s="101">
        <f>1-H19</f>
        <v>0</v>
      </c>
      <c r="J22" s="102">
        <f>J23/SUM(D10:H10)</f>
        <v>0.17197347331694776</v>
      </c>
    </row>
    <row r="23" spans="1:12" ht="51.75" customHeight="1" thickBot="1" x14ac:dyDescent="0.4">
      <c r="A23" s="625" t="s">
        <v>89</v>
      </c>
      <c r="B23" s="626"/>
      <c r="C23" s="627"/>
      <c r="D23" s="103">
        <f>D10*D22</f>
        <v>295787.08863346133</v>
      </c>
      <c r="E23" s="104">
        <f>E10*E22</f>
        <v>123359.55282677556</v>
      </c>
      <c r="F23" s="104">
        <f>F10*F22</f>
        <v>150758.35877040675</v>
      </c>
      <c r="G23" s="104">
        <f>G10*G22</f>
        <v>526810.21665076679</v>
      </c>
      <c r="H23" s="105">
        <f>H10*H22</f>
        <v>0</v>
      </c>
      <c r="J23" s="106">
        <f>SUM(D23:H23)</f>
        <v>1096715.2168814105</v>
      </c>
    </row>
    <row r="26" spans="1:12" s="369" customFormat="1" ht="30" customHeight="1" x14ac:dyDescent="0.35">
      <c r="A26" s="369" t="s">
        <v>188</v>
      </c>
    </row>
    <row r="28" spans="1:12" s="371" customFormat="1" ht="16.5" x14ac:dyDescent="0.45">
      <c r="A28" s="370" t="s">
        <v>194</v>
      </c>
    </row>
    <row r="29" spans="1:12" ht="13.15" thickBot="1" x14ac:dyDescent="0.4"/>
    <row r="30" spans="1:12" ht="30" customHeight="1" thickBot="1" x14ac:dyDescent="0.4">
      <c r="B30" s="108" t="s">
        <v>93</v>
      </c>
      <c r="C30" s="109"/>
      <c r="D30" s="110"/>
      <c r="E30" s="110"/>
      <c r="F30" s="109"/>
      <c r="H30" s="108" t="s">
        <v>91</v>
      </c>
      <c r="I30" s="109"/>
      <c r="J30" s="110"/>
      <c r="K30" s="110"/>
      <c r="L30" s="109"/>
    </row>
    <row r="31" spans="1:12" ht="6.75" customHeight="1" thickBot="1" x14ac:dyDescent="0.4"/>
    <row r="32" spans="1:12" ht="21" customHeight="1" x14ac:dyDescent="0.35">
      <c r="A32" s="620" t="s">
        <v>92</v>
      </c>
      <c r="B32" s="143" t="s">
        <v>0</v>
      </c>
      <c r="C32" s="111"/>
      <c r="D32" s="111"/>
      <c r="E32" s="111"/>
      <c r="F32" s="112"/>
      <c r="H32" s="113" t="s">
        <v>0</v>
      </c>
      <c r="I32" s="111"/>
      <c r="J32" s="111"/>
      <c r="K32" s="111"/>
      <c r="L32" s="112"/>
    </row>
    <row r="33" spans="1:12" ht="21" customHeight="1" x14ac:dyDescent="0.35">
      <c r="A33" s="621"/>
      <c r="B33" s="144">
        <v>0</v>
      </c>
      <c r="C33" s="114">
        <v>1</v>
      </c>
      <c r="D33" s="114">
        <v>2</v>
      </c>
      <c r="E33" s="114">
        <v>3</v>
      </c>
      <c r="F33" s="115">
        <v>4</v>
      </c>
      <c r="H33" s="116">
        <v>0</v>
      </c>
      <c r="I33" s="114">
        <v>1</v>
      </c>
      <c r="J33" s="114">
        <v>2</v>
      </c>
      <c r="K33" s="114">
        <v>3</v>
      </c>
      <c r="L33" s="115">
        <v>4</v>
      </c>
    </row>
    <row r="34" spans="1:12" ht="18" customHeight="1" x14ac:dyDescent="0.35">
      <c r="A34" s="140" t="s">
        <v>15</v>
      </c>
      <c r="B34" s="138">
        <f>'I. Datos de entrada'!B76</f>
        <v>0.41749999999999998</v>
      </c>
      <c r="C34" s="117">
        <f>'I. Datos de entrada'!C76</f>
        <v>0.42416666666666669</v>
      </c>
      <c r="D34" s="117">
        <f>'I. Datos de entrada'!D76</f>
        <v>0.42499999999999999</v>
      </c>
      <c r="E34" s="117">
        <f>'I. Datos de entrada'!E76</f>
        <v>0.41249999999999998</v>
      </c>
      <c r="F34" s="118">
        <f>'I. Datos de entrada'!F76</f>
        <v>0.42083333333333334</v>
      </c>
      <c r="H34" s="119">
        <f>H$20*B34</f>
        <v>830981.11235976894</v>
      </c>
      <c r="I34" s="120">
        <f>G$20*C34</f>
        <v>670366.00068810082</v>
      </c>
      <c r="J34" s="120">
        <f t="shared" ref="J34:J39" si="0">F$20*D34</f>
        <v>192216.90743226861</v>
      </c>
      <c r="K34" s="120">
        <f t="shared" ref="K34:K39" si="1">E$20*E34</f>
        <v>152657.44662313475</v>
      </c>
      <c r="L34" s="121">
        <f t="shared" ref="L34:L39" si="2">D$20*F34</f>
        <v>373431.19939974492</v>
      </c>
    </row>
    <row r="35" spans="1:12" ht="18" customHeight="1" x14ac:dyDescent="0.35">
      <c r="A35" s="141" t="s">
        <v>16</v>
      </c>
      <c r="B35" s="138">
        <f>'I. Datos de entrada'!B77</f>
        <v>0.26166666666666666</v>
      </c>
      <c r="C35" s="117">
        <f>'I. Datos de entrada'!C77</f>
        <v>0.27500000000000002</v>
      </c>
      <c r="D35" s="117">
        <f>'I. Datos de entrada'!D77</f>
        <v>0.30333333333333334</v>
      </c>
      <c r="E35" s="117">
        <f>'I. Datos de entrada'!E77</f>
        <v>0.26833333333333331</v>
      </c>
      <c r="F35" s="118">
        <f>'I. Datos de entrada'!F77</f>
        <v>0.27333333333333332</v>
      </c>
      <c r="H35" s="119">
        <f t="shared" ref="H35:H39" si="3">H$20*B35</f>
        <v>520814.50954284921</v>
      </c>
      <c r="I35" s="120">
        <f t="shared" ref="I35:I39" si="4">G$20*C35</f>
        <v>434618.42873688263</v>
      </c>
      <c r="J35" s="120">
        <f t="shared" si="0"/>
        <v>137190.10648107014</v>
      </c>
      <c r="K35" s="120">
        <f t="shared" si="1"/>
        <v>99304.440025554315</v>
      </c>
      <c r="L35" s="121">
        <f t="shared" si="2"/>
        <v>242545.41267943828</v>
      </c>
    </row>
    <row r="36" spans="1:12" ht="18" customHeight="1" x14ac:dyDescent="0.35">
      <c r="A36" s="141" t="s">
        <v>17</v>
      </c>
      <c r="B36" s="138">
        <f>'I. Datos de entrada'!B78</f>
        <v>0.10916666666666666</v>
      </c>
      <c r="C36" s="117">
        <f>'I. Datos de entrada'!C78</f>
        <v>0.15666666666666668</v>
      </c>
      <c r="D36" s="117">
        <f>'I. Datos de entrada'!D78</f>
        <v>0.14000000000000001</v>
      </c>
      <c r="E36" s="117">
        <f>'I. Datos de entrada'!E78</f>
        <v>0.15166666666666667</v>
      </c>
      <c r="F36" s="118">
        <f>'I. Datos de entrada'!F78</f>
        <v>0.15583333333333332</v>
      </c>
      <c r="H36" s="119">
        <f>H$20*B36</f>
        <v>217282.48646532881</v>
      </c>
      <c r="I36" s="120">
        <f t="shared" si="4"/>
        <v>247600.8018258604</v>
      </c>
      <c r="J36" s="120">
        <f t="shared" si="0"/>
        <v>63318.510683570843</v>
      </c>
      <c r="K36" s="120">
        <f t="shared" si="1"/>
        <v>56128.596536182878</v>
      </c>
      <c r="L36" s="121">
        <f t="shared" si="2"/>
        <v>138280.46393614315</v>
      </c>
    </row>
    <row r="37" spans="1:12" ht="18" customHeight="1" x14ac:dyDescent="0.35">
      <c r="A37" s="141" t="s">
        <v>18</v>
      </c>
      <c r="B37" s="138">
        <f>'I. Datos de entrada'!B79</f>
        <v>9.6666666666666665E-2</v>
      </c>
      <c r="C37" s="117">
        <f>'I. Datos de entrada'!C79</f>
        <v>0.12333333333333334</v>
      </c>
      <c r="D37" s="117">
        <f>'I. Datos de entrada'!D79</f>
        <v>0.11833333333333333</v>
      </c>
      <c r="E37" s="117">
        <f>'I. Datos de entrada'!E79</f>
        <v>0.13</v>
      </c>
      <c r="F37" s="118">
        <f>'I. Datos de entrada'!F79</f>
        <v>0.1275</v>
      </c>
      <c r="H37" s="119">
        <f t="shared" si="3"/>
        <v>192402.81244258123</v>
      </c>
      <c r="I37" s="120">
        <f t="shared" si="4"/>
        <v>194919.7801607837</v>
      </c>
      <c r="J37" s="120">
        <f t="shared" si="0"/>
        <v>53519.217363494397</v>
      </c>
      <c r="K37" s="120">
        <f t="shared" si="1"/>
        <v>48110.225602442464</v>
      </c>
      <c r="L37" s="121">
        <f t="shared" si="2"/>
        <v>113138.56140229895</v>
      </c>
    </row>
    <row r="38" spans="1:12" ht="18" customHeight="1" x14ac:dyDescent="0.35">
      <c r="A38" s="141" t="s">
        <v>19</v>
      </c>
      <c r="B38" s="138">
        <f>'I. Datos de entrada'!B80</f>
        <v>2.5000000000000001E-3</v>
      </c>
      <c r="C38" s="473">
        <f>'I. Datos de entrada'!C80</f>
        <v>3.3333333333333335E-3</v>
      </c>
      <c r="D38" s="473">
        <f>'I. Datos de entrada'!D80</f>
        <v>5.0000000000000001E-3</v>
      </c>
      <c r="E38" s="117">
        <f>'I. Datos de entrada'!E80</f>
        <v>5.8333333333333336E-3</v>
      </c>
      <c r="F38" s="118">
        <f>'I. Datos de entrada'!F80</f>
        <v>3.3333333333333335E-3</v>
      </c>
      <c r="H38" s="119">
        <f t="shared" si="3"/>
        <v>4975.9348045495144</v>
      </c>
      <c r="I38" s="120">
        <f>G$20*C38</f>
        <v>5268.1021665076678</v>
      </c>
      <c r="J38" s="120">
        <f t="shared" si="0"/>
        <v>2261.3753815561013</v>
      </c>
      <c r="K38" s="120">
        <f t="shared" si="1"/>
        <v>2158.7921744685723</v>
      </c>
      <c r="L38" s="121">
        <f t="shared" si="2"/>
        <v>2957.8708863346133</v>
      </c>
    </row>
    <row r="39" spans="1:12" ht="18" customHeight="1" thickBot="1" x14ac:dyDescent="0.4">
      <c r="A39" s="142" t="s">
        <v>20</v>
      </c>
      <c r="B39" s="139">
        <f>'I. Datos de entrada'!B81</f>
        <v>0.1125</v>
      </c>
      <c r="C39" s="122">
        <f>'I. Datos de entrada'!C81</f>
        <v>1.7500000000000002E-2</v>
      </c>
      <c r="D39" s="122">
        <f>'I. Datos de entrada'!D81</f>
        <v>8.3333333333333332E-3</v>
      </c>
      <c r="E39" s="122">
        <f>'I. Datos de entrada'!E81</f>
        <v>3.1666666666666669E-2</v>
      </c>
      <c r="F39" s="123">
        <f>'I. Datos de entrada'!F81</f>
        <v>1.9166666666666665E-2</v>
      </c>
      <c r="H39" s="124">
        <f t="shared" si="3"/>
        <v>223917.06620472815</v>
      </c>
      <c r="I39" s="125">
        <f t="shared" si="4"/>
        <v>27657.536374165258</v>
      </c>
      <c r="J39" s="125">
        <f t="shared" si="0"/>
        <v>3768.9589692601685</v>
      </c>
      <c r="K39" s="125">
        <f t="shared" si="1"/>
        <v>11719.157518543678</v>
      </c>
      <c r="L39" s="126">
        <f t="shared" si="2"/>
        <v>17007.757596424024</v>
      </c>
    </row>
    <row r="40" spans="1:12" ht="5.25" customHeight="1" thickBot="1" x14ac:dyDescent="0.4">
      <c r="B40" s="127"/>
      <c r="C40" s="127"/>
      <c r="D40" s="127"/>
      <c r="E40" s="127"/>
      <c r="F40" s="127"/>
      <c r="H40" s="128"/>
      <c r="I40" s="128"/>
      <c r="J40" s="128"/>
      <c r="K40" s="128"/>
      <c r="L40" s="128"/>
    </row>
    <row r="41" spans="1:12" ht="18" customHeight="1" thickBot="1" x14ac:dyDescent="0.4">
      <c r="A41" s="53" t="s">
        <v>1</v>
      </c>
      <c r="B41" s="145">
        <f>SUM(B34:B40)</f>
        <v>1</v>
      </c>
      <c r="C41" s="129">
        <f>SUM(C34:C40)</f>
        <v>1</v>
      </c>
      <c r="D41" s="129">
        <f>SUM(D34:D40)</f>
        <v>0.99999999999999989</v>
      </c>
      <c r="E41" s="129">
        <f>SUM(E34:E40)</f>
        <v>1</v>
      </c>
      <c r="F41" s="38">
        <f>SUM(F34:F40)</f>
        <v>0.99999999999999978</v>
      </c>
      <c r="H41" s="130">
        <f>SUM(H34:H39)</f>
        <v>1990373.9218198056</v>
      </c>
      <c r="I41" s="131">
        <f t="shared" ref="I41:L41" si="5">SUM(I34:I39)</f>
        <v>1580430.6499523006</v>
      </c>
      <c r="J41" s="131">
        <f t="shared" si="5"/>
        <v>452275.0763112203</v>
      </c>
      <c r="K41" s="131">
        <f t="shared" si="5"/>
        <v>370078.65848032659</v>
      </c>
      <c r="L41" s="132">
        <f t="shared" si="5"/>
        <v>887361.26590038394</v>
      </c>
    </row>
    <row r="44" spans="1:12" s="371" customFormat="1" ht="16.5" x14ac:dyDescent="0.45">
      <c r="A44" s="370" t="s">
        <v>195</v>
      </c>
    </row>
    <row r="45" spans="1:12" ht="13.15" thickBot="1" x14ac:dyDescent="0.4"/>
    <row r="46" spans="1:12" ht="30" customHeight="1" thickBot="1" x14ac:dyDescent="0.4">
      <c r="B46" s="108" t="s">
        <v>93</v>
      </c>
      <c r="C46" s="109"/>
      <c r="D46" s="110"/>
      <c r="E46" s="110"/>
      <c r="F46" s="109"/>
      <c r="H46" s="108" t="s">
        <v>91</v>
      </c>
      <c r="I46" s="109"/>
      <c r="J46" s="110"/>
      <c r="K46" s="110"/>
      <c r="L46" s="109"/>
    </row>
    <row r="47" spans="1:12" ht="6.75" customHeight="1" thickBot="1" x14ac:dyDescent="0.4"/>
    <row r="48" spans="1:12" ht="21" customHeight="1" x14ac:dyDescent="0.35">
      <c r="A48" s="620" t="s">
        <v>92</v>
      </c>
      <c r="B48" s="143" t="s">
        <v>0</v>
      </c>
      <c r="C48" s="111"/>
      <c r="D48" s="111"/>
      <c r="E48" s="111"/>
      <c r="F48" s="112"/>
      <c r="H48" s="113" t="s">
        <v>0</v>
      </c>
      <c r="I48" s="111"/>
      <c r="J48" s="111"/>
      <c r="K48" s="111"/>
      <c r="L48" s="112"/>
    </row>
    <row r="49" spans="1:15" ht="21" customHeight="1" x14ac:dyDescent="0.35">
      <c r="A49" s="621"/>
      <c r="B49" s="144">
        <v>0</v>
      </c>
      <c r="C49" s="114">
        <v>1</v>
      </c>
      <c r="D49" s="114">
        <v>2</v>
      </c>
      <c r="E49" s="114">
        <v>3</v>
      </c>
      <c r="F49" s="115">
        <v>4</v>
      </c>
      <c r="H49" s="116">
        <v>0</v>
      </c>
      <c r="I49" s="114">
        <v>1</v>
      </c>
      <c r="J49" s="114">
        <v>2</v>
      </c>
      <c r="K49" s="114">
        <v>3</v>
      </c>
      <c r="L49" s="115">
        <v>4</v>
      </c>
    </row>
    <row r="50" spans="1:15" ht="18" customHeight="1" x14ac:dyDescent="0.35">
      <c r="A50" s="140" t="s">
        <v>15</v>
      </c>
      <c r="B50" s="138">
        <f>'I. Datos de entrada'!B92</f>
        <v>0.41749999999999998</v>
      </c>
      <c r="C50" s="117">
        <f>'I. Datos de entrada'!C92</f>
        <v>0.42416666666666669</v>
      </c>
      <c r="D50" s="117">
        <f>'I. Datos de entrada'!D92</f>
        <v>0.42499999999999999</v>
      </c>
      <c r="E50" s="117">
        <f>'I. Datos de entrada'!E92</f>
        <v>0.41249999999999998</v>
      </c>
      <c r="F50" s="118">
        <f>'I. Datos de entrada'!F92</f>
        <v>0.42083333333333334</v>
      </c>
      <c r="H50" s="119">
        <f t="shared" ref="H50:H55" si="6">H$23*B50</f>
        <v>0</v>
      </c>
      <c r="I50" s="120">
        <f t="shared" ref="I50:I55" si="7">G$23*C50</f>
        <v>223455.33356270025</v>
      </c>
      <c r="J50" s="120">
        <f t="shared" ref="J50:J55" si="8">F$23*D50</f>
        <v>64072.302477422869</v>
      </c>
      <c r="K50" s="120">
        <f t="shared" ref="K50:K55" si="9">E$23*E50</f>
        <v>50885.815541044918</v>
      </c>
      <c r="L50" s="121">
        <f t="shared" ref="L50:L55" si="10">D$23*F50</f>
        <v>124477.06646658164</v>
      </c>
    </row>
    <row r="51" spans="1:15" ht="18" customHeight="1" x14ac:dyDescent="0.35">
      <c r="A51" s="141" t="s">
        <v>16</v>
      </c>
      <c r="B51" s="138">
        <f>'I. Datos de entrada'!B93</f>
        <v>0.26166666666666666</v>
      </c>
      <c r="C51" s="117">
        <f>'I. Datos de entrada'!C93</f>
        <v>0.27500000000000002</v>
      </c>
      <c r="D51" s="117">
        <f>'I. Datos de entrada'!D93</f>
        <v>0.30333333333333334</v>
      </c>
      <c r="E51" s="117">
        <f>'I. Datos de entrada'!E93</f>
        <v>0.26833333333333331</v>
      </c>
      <c r="F51" s="118">
        <f>'I. Datos de entrada'!F93</f>
        <v>0.27333333333333332</v>
      </c>
      <c r="H51" s="119">
        <f t="shared" si="6"/>
        <v>0</v>
      </c>
      <c r="I51" s="120">
        <f t="shared" si="7"/>
        <v>144872.80957896088</v>
      </c>
      <c r="J51" s="120">
        <f t="shared" si="8"/>
        <v>45730.035493690048</v>
      </c>
      <c r="K51" s="120">
        <f t="shared" si="9"/>
        <v>33101.480008518105</v>
      </c>
      <c r="L51" s="121">
        <f t="shared" si="10"/>
        <v>80848.470893146092</v>
      </c>
    </row>
    <row r="52" spans="1:15" ht="18" customHeight="1" x14ac:dyDescent="0.35">
      <c r="A52" s="141" t="s">
        <v>17</v>
      </c>
      <c r="B52" s="138">
        <f>'I. Datos de entrada'!B94</f>
        <v>0.10916666666666666</v>
      </c>
      <c r="C52" s="117">
        <f>'I. Datos de entrada'!C94</f>
        <v>0.15666666666666668</v>
      </c>
      <c r="D52" s="117">
        <f>'I. Datos de entrada'!D94</f>
        <v>0.14000000000000001</v>
      </c>
      <c r="E52" s="117">
        <f>'I. Datos de entrada'!E94</f>
        <v>0.15166666666666667</v>
      </c>
      <c r="F52" s="118">
        <f>'I. Datos de entrada'!F94</f>
        <v>0.15583333333333332</v>
      </c>
      <c r="H52" s="119">
        <f t="shared" si="6"/>
        <v>0</v>
      </c>
      <c r="I52" s="120">
        <f t="shared" si="7"/>
        <v>82533.600608620138</v>
      </c>
      <c r="J52" s="120">
        <f t="shared" si="8"/>
        <v>21106.170227856946</v>
      </c>
      <c r="K52" s="120">
        <f t="shared" si="9"/>
        <v>18709.532178727626</v>
      </c>
      <c r="L52" s="121">
        <f t="shared" si="10"/>
        <v>46093.487978714387</v>
      </c>
    </row>
    <row r="53" spans="1:15" ht="18" customHeight="1" x14ac:dyDescent="0.35">
      <c r="A53" s="141" t="s">
        <v>18</v>
      </c>
      <c r="B53" s="138">
        <f>'I. Datos de entrada'!B95</f>
        <v>9.6666666666666665E-2</v>
      </c>
      <c r="C53" s="117">
        <f>'I. Datos de entrada'!C95</f>
        <v>0.12333333333333334</v>
      </c>
      <c r="D53" s="117">
        <f>'I. Datos de entrada'!D95</f>
        <v>0.11833333333333333</v>
      </c>
      <c r="E53" s="117">
        <f>'I. Datos de entrada'!E95</f>
        <v>0.13</v>
      </c>
      <c r="F53" s="118">
        <f>'I. Datos de entrada'!F95</f>
        <v>0.1275</v>
      </c>
      <c r="H53" s="119">
        <f t="shared" si="6"/>
        <v>0</v>
      </c>
      <c r="I53" s="120">
        <f t="shared" si="7"/>
        <v>64973.260053594575</v>
      </c>
      <c r="J53" s="120">
        <f t="shared" si="8"/>
        <v>17839.739121164799</v>
      </c>
      <c r="K53" s="120">
        <f t="shared" si="9"/>
        <v>16036.741867480823</v>
      </c>
      <c r="L53" s="121">
        <f t="shared" si="10"/>
        <v>37712.853800766323</v>
      </c>
    </row>
    <row r="54" spans="1:15" ht="18" customHeight="1" x14ac:dyDescent="0.35">
      <c r="A54" s="141" t="s">
        <v>19</v>
      </c>
      <c r="B54" s="138">
        <f>'I. Datos de entrada'!B96</f>
        <v>2.5000000000000001E-3</v>
      </c>
      <c r="C54" s="117">
        <f>'I. Datos de entrada'!C96</f>
        <v>3.3333333333333335E-3</v>
      </c>
      <c r="D54" s="117">
        <f>'I. Datos de entrada'!D96</f>
        <v>5.0000000000000001E-3</v>
      </c>
      <c r="E54" s="117">
        <f>'I. Datos de entrada'!E96</f>
        <v>5.8333333333333336E-3</v>
      </c>
      <c r="F54" s="118">
        <f>'I. Datos de entrada'!F96</f>
        <v>3.3333333333333335E-3</v>
      </c>
      <c r="H54" s="119">
        <f t="shared" si="6"/>
        <v>0</v>
      </c>
      <c r="I54" s="120">
        <f t="shared" si="7"/>
        <v>1756.0340555025562</v>
      </c>
      <c r="J54" s="120">
        <f t="shared" si="8"/>
        <v>753.79179385203372</v>
      </c>
      <c r="K54" s="120">
        <f t="shared" si="9"/>
        <v>719.59739148952417</v>
      </c>
      <c r="L54" s="121">
        <f>D$23*F54</f>
        <v>985.95696211153779</v>
      </c>
    </row>
    <row r="55" spans="1:15" ht="18" customHeight="1" thickBot="1" x14ac:dyDescent="0.4">
      <c r="A55" s="142" t="s">
        <v>20</v>
      </c>
      <c r="B55" s="139">
        <f>'I. Datos de entrada'!B97</f>
        <v>0.1125</v>
      </c>
      <c r="C55" s="122">
        <f>'I. Datos de entrada'!C97</f>
        <v>1.7500000000000002E-2</v>
      </c>
      <c r="D55" s="122">
        <f>'I. Datos de entrada'!D97</f>
        <v>8.3333333333333332E-3</v>
      </c>
      <c r="E55" s="122">
        <f>'I. Datos de entrada'!E97</f>
        <v>3.1666666666666669E-2</v>
      </c>
      <c r="F55" s="123">
        <f>'I. Datos de entrada'!F97</f>
        <v>1.9166666666666665E-2</v>
      </c>
      <c r="H55" s="124">
        <f t="shared" si="6"/>
        <v>0</v>
      </c>
      <c r="I55" s="125">
        <f t="shared" si="7"/>
        <v>9219.17879138842</v>
      </c>
      <c r="J55" s="125">
        <f t="shared" si="8"/>
        <v>1256.3196564200562</v>
      </c>
      <c r="K55" s="125">
        <f t="shared" si="9"/>
        <v>3906.3858395145598</v>
      </c>
      <c r="L55" s="126">
        <f t="shared" si="10"/>
        <v>5669.2525321413414</v>
      </c>
    </row>
    <row r="56" spans="1:15" ht="5.25" customHeight="1" thickBot="1" x14ac:dyDescent="0.4">
      <c r="B56" s="127"/>
      <c r="C56" s="127"/>
      <c r="D56" s="127"/>
      <c r="E56" s="127"/>
      <c r="F56" s="127"/>
      <c r="H56" s="128"/>
      <c r="I56" s="128"/>
      <c r="J56" s="128"/>
      <c r="K56" s="128"/>
      <c r="L56" s="128"/>
    </row>
    <row r="57" spans="1:15" ht="18" customHeight="1" thickBot="1" x14ac:dyDescent="0.4">
      <c r="A57" s="53" t="s">
        <v>1</v>
      </c>
      <c r="B57" s="145">
        <f>SUM(B50:B56)</f>
        <v>1</v>
      </c>
      <c r="C57" s="129">
        <f>SUM(C50:C56)</f>
        <v>1</v>
      </c>
      <c r="D57" s="129">
        <f>SUM(D50:D56)</f>
        <v>0.99999999999999989</v>
      </c>
      <c r="E57" s="129">
        <f>SUM(E50:E56)</f>
        <v>1</v>
      </c>
      <c r="F57" s="38">
        <f>SUM(F50:F56)</f>
        <v>0.99999999999999978</v>
      </c>
      <c r="H57" s="130">
        <f>SUM(H50:H55)</f>
        <v>0</v>
      </c>
      <c r="I57" s="131">
        <f>SUM(I50:I55)</f>
        <v>526810.2166507669</v>
      </c>
      <c r="J57" s="131">
        <f t="shared" ref="J57:L57" si="11">SUM(J50:J55)</f>
        <v>150758.35877040675</v>
      </c>
      <c r="K57" s="131">
        <f t="shared" si="11"/>
        <v>123359.55282677556</v>
      </c>
      <c r="L57" s="132">
        <f t="shared" si="11"/>
        <v>295787.08863346133</v>
      </c>
    </row>
    <row r="60" spans="1:15" s="369" customFormat="1" ht="30" customHeight="1" x14ac:dyDescent="0.35">
      <c r="A60" s="369" t="s">
        <v>189</v>
      </c>
    </row>
    <row r="61" spans="1:15" ht="13.15" x14ac:dyDescent="0.4">
      <c r="A61" s="98"/>
    </row>
    <row r="62" spans="1:15" s="371" customFormat="1" ht="16.5" x14ac:dyDescent="0.45">
      <c r="A62" s="370" t="s">
        <v>196</v>
      </c>
    </row>
    <row r="63" spans="1:15" ht="13.5" thickBot="1" x14ac:dyDescent="0.45">
      <c r="A63" s="98"/>
    </row>
    <row r="64" spans="1:15" ht="36.75" customHeight="1" x14ac:dyDescent="0.35">
      <c r="A64" s="57" t="s">
        <v>52</v>
      </c>
      <c r="B64" s="58" t="s">
        <v>51</v>
      </c>
      <c r="C64" s="64" t="s">
        <v>15</v>
      </c>
      <c r="D64" s="64" t="s">
        <v>16</v>
      </c>
      <c r="E64" s="64" t="s">
        <v>17</v>
      </c>
      <c r="F64" s="64" t="s">
        <v>18</v>
      </c>
      <c r="G64" s="64" t="s">
        <v>19</v>
      </c>
      <c r="H64" s="69" t="s">
        <v>20</v>
      </c>
      <c r="J64" s="147" t="s">
        <v>15</v>
      </c>
      <c r="K64" s="148" t="s">
        <v>16</v>
      </c>
      <c r="L64" s="148" t="s">
        <v>17</v>
      </c>
      <c r="M64" s="148" t="s">
        <v>18</v>
      </c>
      <c r="N64" s="148" t="s">
        <v>19</v>
      </c>
      <c r="O64" s="149" t="s">
        <v>20</v>
      </c>
    </row>
    <row r="65" spans="1:18" ht="18" x14ac:dyDescent="0.35">
      <c r="A65" s="146" t="s">
        <v>10</v>
      </c>
      <c r="B65" s="60" t="s">
        <v>53</v>
      </c>
      <c r="C65" s="70">
        <f>'IIIa. Coeficientes Potencia'!D9</f>
        <v>1</v>
      </c>
      <c r="D65" s="70">
        <f>'IIIa. Coeficientes Potencia'!E9</f>
        <v>1</v>
      </c>
      <c r="E65" s="70">
        <f>'IIIa. Coeficientes Potencia'!F9</f>
        <v>1</v>
      </c>
      <c r="F65" s="70">
        <f>'IIIa. Coeficientes Potencia'!G9</f>
        <v>1</v>
      </c>
      <c r="G65" s="70">
        <f>'IIIa. Coeficientes Potencia'!H9</f>
        <v>1</v>
      </c>
      <c r="H65" s="76">
        <f>'IIIa. Coeficientes Potencia'!I9</f>
        <v>1</v>
      </c>
      <c r="J65" s="150">
        <f>$H$34*C65</f>
        <v>830981.11235976894</v>
      </c>
      <c r="K65" s="151">
        <f>$H$35*D65</f>
        <v>520814.50954284921</v>
      </c>
      <c r="L65" s="151">
        <f>$H$36*E65</f>
        <v>217282.48646532881</v>
      </c>
      <c r="M65" s="151">
        <f>$H$37*F65</f>
        <v>192402.81244258123</v>
      </c>
      <c r="N65" s="151">
        <f>$H$38*G65</f>
        <v>4975.9348045495144</v>
      </c>
      <c r="O65" s="152">
        <f>$H$39*H65</f>
        <v>223917.06620472815</v>
      </c>
    </row>
    <row r="66" spans="1:18" ht="18" x14ac:dyDescent="0.35">
      <c r="A66" s="634" t="s">
        <v>11</v>
      </c>
      <c r="B66" s="61" t="s">
        <v>54</v>
      </c>
      <c r="C66" s="71">
        <f>'IIIa. Coeficientes Potencia'!D10</f>
        <v>0.28063643491169449</v>
      </c>
      <c r="D66" s="71">
        <f>'IIIa. Coeficientes Potencia'!E10</f>
        <v>0.27540088499896276</v>
      </c>
      <c r="E66" s="71">
        <f>'IIIa. Coeficientes Potencia'!F10</f>
        <v>0.40571359141409913</v>
      </c>
      <c r="F66" s="71">
        <f>'IIIa. Coeficientes Potencia'!G10</f>
        <v>0.40185838974060434</v>
      </c>
      <c r="G66" s="71">
        <f>'IIIa. Coeficientes Potencia'!H10</f>
        <v>0.36521415241705413</v>
      </c>
      <c r="H66" s="77">
        <f>'IIIa. Coeficientes Potencia'!I10</f>
        <v>0.19398436339159919</v>
      </c>
      <c r="J66" s="153">
        <f>$I$34*C66</f>
        <v>188129.12451911916</v>
      </c>
      <c r="K66" s="154">
        <f>$I$35*D66</f>
        <v>119694.29991099611</v>
      </c>
      <c r="L66" s="154">
        <f>$I$36*E66</f>
        <v>100455.01054578046</v>
      </c>
      <c r="M66" s="154">
        <f>$I$37*F66</f>
        <v>78330.148984005136</v>
      </c>
      <c r="N66" s="154">
        <f>$I$38*G66</f>
        <v>1923.9854675875445</v>
      </c>
      <c r="O66" s="155">
        <f>$I$39*H66</f>
        <v>5365.1295865224465</v>
      </c>
    </row>
    <row r="67" spans="1:18" ht="18" x14ac:dyDescent="0.35">
      <c r="A67" s="636"/>
      <c r="B67" s="62" t="s">
        <v>55</v>
      </c>
      <c r="C67" s="72">
        <f>'IIIa. Coeficientes Potencia'!D11</f>
        <v>0.71936356508830546</v>
      </c>
      <c r="D67" s="72">
        <f>'IIIa. Coeficientes Potencia'!E11</f>
        <v>0.72459911500103713</v>
      </c>
      <c r="E67" s="72">
        <f>'IIIa. Coeficientes Potencia'!F11</f>
        <v>0.59428640858590087</v>
      </c>
      <c r="F67" s="72">
        <f>'IIIa. Coeficientes Potencia'!G11</f>
        <v>0.59814161025939561</v>
      </c>
      <c r="G67" s="72">
        <f>'IIIa. Coeficientes Potencia'!H11</f>
        <v>0.63478584758294576</v>
      </c>
      <c r="H67" s="78">
        <f>'IIIa. Coeficientes Potencia'!I11</f>
        <v>0.80601563660840081</v>
      </c>
      <c r="J67" s="156">
        <f>$I$34*C67</f>
        <v>482236.87616898166</v>
      </c>
      <c r="K67" s="157">
        <f>$I$35*D67</f>
        <v>314924.12882588647</v>
      </c>
      <c r="L67" s="157">
        <f>$I$36*E67</f>
        <v>147145.79128007995</v>
      </c>
      <c r="M67" s="157">
        <f>$I$37*F67</f>
        <v>116589.63117677855</v>
      </c>
      <c r="N67" s="157">
        <f>$I$38*G67</f>
        <v>3344.1166989201229</v>
      </c>
      <c r="O67" s="158">
        <f>$I$39*H67</f>
        <v>22292.406787642813</v>
      </c>
    </row>
    <row r="68" spans="1:18" ht="17.25" x14ac:dyDescent="0.35">
      <c r="A68" s="634" t="s">
        <v>12</v>
      </c>
      <c r="B68" s="61" t="s">
        <v>56</v>
      </c>
      <c r="C68" s="71">
        <f>'IIIa. Coeficientes Potencia'!D12</f>
        <v>0.1546045743690399</v>
      </c>
      <c r="D68" s="71">
        <f>'IIIa. Coeficientes Potencia'!E12</f>
        <v>0.15525738539324563</v>
      </c>
      <c r="E68" s="71">
        <f>'IIIa. Coeficientes Potencia'!F12</f>
        <v>0.20560664142325938</v>
      </c>
      <c r="F68" s="71">
        <f>'IIIa. Coeficientes Potencia'!G12</f>
        <v>0.20756789292929562</v>
      </c>
      <c r="G68" s="71">
        <f>'IIIa. Coeficientes Potencia'!H12</f>
        <v>0.20339795503674968</v>
      </c>
      <c r="H68" s="77">
        <f>'IIIa. Coeficientes Potencia'!I12</f>
        <v>0.13547266632516536</v>
      </c>
      <c r="J68" s="153">
        <f>$J$34*C68</f>
        <v>29717.61316009903</v>
      </c>
      <c r="K68" s="154">
        <f>$J$35*D68</f>
        <v>21299.777234071909</v>
      </c>
      <c r="L68" s="154">
        <f>$J$36*E68</f>
        <v>13018.706321571768</v>
      </c>
      <c r="M68" s="154">
        <f>$J$37*F68</f>
        <v>11108.871179365504</v>
      </c>
      <c r="N68" s="154">
        <f>$J$38*G68</f>
        <v>459.95912817896055</v>
      </c>
      <c r="O68" s="155">
        <f>$J$39*H68</f>
        <v>510.59092083582198</v>
      </c>
    </row>
    <row r="69" spans="1:18" ht="17.25" x14ac:dyDescent="0.35">
      <c r="A69" s="635"/>
      <c r="B69" s="61" t="s">
        <v>57</v>
      </c>
      <c r="C69" s="71">
        <f>'IIIa. Coeficientes Potencia'!D13</f>
        <v>0.23717534533539339</v>
      </c>
      <c r="D69" s="71">
        <f>'IIIa. Coeficientes Potencia'!E13</f>
        <v>0.23257160074174232</v>
      </c>
      <c r="E69" s="71">
        <f>'IIIa. Coeficientes Potencia'!F13</f>
        <v>0.32219232354599281</v>
      </c>
      <c r="F69" s="71">
        <f>'IIIa. Coeficientes Potencia'!G13</f>
        <v>0.31834232421484837</v>
      </c>
      <c r="G69" s="71">
        <f>'IIIa. Coeficientes Potencia'!H13</f>
        <v>0.29084266369521439</v>
      </c>
      <c r="H69" s="77">
        <f>'IIIa. Coeficientes Potencia'!I13</f>
        <v>0.16765631996232247</v>
      </c>
      <c r="J69" s="153">
        <f>$J$34*C69</f>
        <v>45589.111399549649</v>
      </c>
      <c r="K69" s="154">
        <f>$J$35*D69</f>
        <v>31906.52267023256</v>
      </c>
      <c r="L69" s="154">
        <f>$J$36*E69</f>
        <v>20400.73808061146</v>
      </c>
      <c r="M69" s="154">
        <f>$J$37*F69</f>
        <v>17037.432045654477</v>
      </c>
      <c r="N69" s="154">
        <f>$J$38*G69</f>
        <v>657.70443958655824</v>
      </c>
      <c r="O69" s="155">
        <f>$J$39*H69</f>
        <v>631.88979087514792</v>
      </c>
    </row>
    <row r="70" spans="1:18" ht="17.25" x14ac:dyDescent="0.35">
      <c r="A70" s="636"/>
      <c r="B70" s="62" t="s">
        <v>58</v>
      </c>
      <c r="C70" s="72">
        <f>'IIIa. Coeficientes Potencia'!D14</f>
        <v>0.60822008029556662</v>
      </c>
      <c r="D70" s="72">
        <f>'IIIa. Coeficientes Potencia'!E14</f>
        <v>0.61217101386501183</v>
      </c>
      <c r="E70" s="72">
        <f>'IIIa. Coeficientes Potencia'!F14</f>
        <v>0.47220103503074784</v>
      </c>
      <c r="F70" s="72">
        <f>'IIIa. Coeficientes Potencia'!G14</f>
        <v>0.4740897828558559</v>
      </c>
      <c r="G70" s="72">
        <f>'IIIa. Coeficientes Potencia'!H14</f>
        <v>0.50575938126803588</v>
      </c>
      <c r="H70" s="78">
        <f>'IIIa. Coeficientes Potencia'!I14</f>
        <v>0.69687101371251226</v>
      </c>
      <c r="J70" s="156">
        <f>$J$34*C70</f>
        <v>116910.1828726199</v>
      </c>
      <c r="K70" s="157">
        <f>$J$35*D70</f>
        <v>83983.806576765637</v>
      </c>
      <c r="L70" s="157">
        <f>$J$36*E70</f>
        <v>29899.066281387615</v>
      </c>
      <c r="M70" s="157">
        <f>$J$37*F70</f>
        <v>25372.914138474411</v>
      </c>
      <c r="N70" s="157">
        <f>$J$38*G70</f>
        <v>1143.7118137905823</v>
      </c>
      <c r="O70" s="158">
        <f>$J$39*H70</f>
        <v>2626.478257549199</v>
      </c>
    </row>
    <row r="71" spans="1:18" ht="17.25" x14ac:dyDescent="0.35">
      <c r="A71" s="634" t="s">
        <v>13</v>
      </c>
      <c r="B71" s="61" t="s">
        <v>59</v>
      </c>
      <c r="C71" s="71">
        <f>'IIIa. Coeficientes Potencia'!D15</f>
        <v>6.0056815783988561E-2</v>
      </c>
      <c r="D71" s="71">
        <f>'IIIa. Coeficientes Potencia'!E15</f>
        <v>5.8838737295571604E-2</v>
      </c>
      <c r="E71" s="71">
        <f>'IIIa. Coeficientes Potencia'!F15</f>
        <v>9.0256525589405279E-2</v>
      </c>
      <c r="F71" s="71">
        <f>'IIIa. Coeficientes Potencia'!G15</f>
        <v>9.069218870434817E-2</v>
      </c>
      <c r="G71" s="71">
        <f>'IIIa. Coeficientes Potencia'!H15</f>
        <v>9.497939780241374E-2</v>
      </c>
      <c r="H71" s="77">
        <f>'IIIa. Coeficientes Potencia'!I15</f>
        <v>6.6026448448148201E-2</v>
      </c>
      <c r="J71" s="153">
        <f>$K$34*C71</f>
        <v>9168.1201498996707</v>
      </c>
      <c r="K71" s="154">
        <f>$K$35*D71</f>
        <v>5842.9478589474365</v>
      </c>
      <c r="L71" s="154">
        <f>$K$36*E71</f>
        <v>5065.972109565394</v>
      </c>
      <c r="M71" s="154">
        <f>$K$37*F71</f>
        <v>4363.2216589454747</v>
      </c>
      <c r="N71" s="154">
        <f>$K$38*G71</f>
        <v>205.0407807115883</v>
      </c>
      <c r="O71" s="155">
        <f>$K$39*H71</f>
        <v>773.77434975385256</v>
      </c>
    </row>
    <row r="72" spans="1:18" ht="17.25" x14ac:dyDescent="0.35">
      <c r="A72" s="635"/>
      <c r="B72" s="61" t="s">
        <v>60</v>
      </c>
      <c r="C72" s="71">
        <f>'IIIa. Coeficientes Potencia'!D16</f>
        <v>4.8189422196137623E-2</v>
      </c>
      <c r="D72" s="71">
        <f>'IIIa. Coeficientes Potencia'!E16</f>
        <v>4.8039433689426148E-2</v>
      </c>
      <c r="E72" s="71">
        <f>'IIIa. Coeficientes Potencia'!F16</f>
        <v>6.1275150404470645E-2</v>
      </c>
      <c r="F72" s="71">
        <f>'IIIa. Coeficientes Potencia'!G16</f>
        <v>6.170954933606277E-2</v>
      </c>
      <c r="G72" s="71">
        <f>'IIIa. Coeficientes Potencia'!H16</f>
        <v>6.1761249286346361E-2</v>
      </c>
      <c r="H72" s="77">
        <f>'IIIa. Coeficientes Potencia'!I16</f>
        <v>4.2041592642754859E-2</v>
      </c>
      <c r="J72" s="153">
        <f>$K$34*C72</f>
        <v>7356.4741467065842</v>
      </c>
      <c r="K72" s="154">
        <f>$K$35*D72</f>
        <v>4770.5290616732127</v>
      </c>
      <c r="L72" s="154">
        <f>$K$36*E72</f>
        <v>3439.2881947464562</v>
      </c>
      <c r="M72" s="154">
        <f>$K$37*F72</f>
        <v>2968.8603403830334</v>
      </c>
      <c r="N72" s="154">
        <f>$K$38*G72</f>
        <v>133.32970164476723</v>
      </c>
      <c r="O72" s="155">
        <f>$K$39*H72</f>
        <v>492.69204651089115</v>
      </c>
    </row>
    <row r="73" spans="1:18" ht="17.25" x14ac:dyDescent="0.35">
      <c r="A73" s="635"/>
      <c r="B73" s="61" t="s">
        <v>61</v>
      </c>
      <c r="C73" s="71">
        <f>'IIIa. Coeficientes Potencia'!D17</f>
        <v>0.2502357141499959</v>
      </c>
      <c r="D73" s="71">
        <f>'IIIa. Coeficientes Potencia'!E17</f>
        <v>0.24594449209143693</v>
      </c>
      <c r="E73" s="71">
        <f>'IIIa. Coeficientes Potencia'!F17</f>
        <v>0.3442041787561626</v>
      </c>
      <c r="F73" s="71">
        <f>'IIIa. Coeficientes Potencia'!G17</f>
        <v>0.34058380154512391</v>
      </c>
      <c r="G73" s="71">
        <f>'IIIa. Coeficientes Potencia'!H17</f>
        <v>0.30794362696204297</v>
      </c>
      <c r="H73" s="77">
        <f>'IIIa. Coeficientes Potencia'!I17</f>
        <v>0.17300581312197516</v>
      </c>
      <c r="J73" s="153">
        <f>$K$34*C73</f>
        <v>38200.345176055002</v>
      </c>
      <c r="K73" s="154">
        <f>$K$35*D73</f>
        <v>24423.380064509514</v>
      </c>
      <c r="L73" s="154">
        <f>$K$36*E73</f>
        <v>19319.697475472822</v>
      </c>
      <c r="M73" s="154">
        <f>$K$37*F73</f>
        <v>16385.563528873405</v>
      </c>
      <c r="N73" s="154">
        <f>$K$38*G73</f>
        <v>664.78629206312758</v>
      </c>
      <c r="O73" s="155">
        <f>$K$39*H73</f>
        <v>2027.4823756001576</v>
      </c>
    </row>
    <row r="74" spans="1:18" ht="15.75" x14ac:dyDescent="0.35">
      <c r="A74" s="636"/>
      <c r="B74" s="62" t="s">
        <v>62</v>
      </c>
      <c r="C74" s="72">
        <f>'IIIa. Coeficientes Potencia'!D18</f>
        <v>0.64151804786987787</v>
      </c>
      <c r="D74" s="72">
        <f>'IIIa. Coeficientes Potencia'!E18</f>
        <v>0.64717733692356527</v>
      </c>
      <c r="E74" s="72">
        <f>'IIIa. Coeficientes Potencia'!F18</f>
        <v>0.50426414524996133</v>
      </c>
      <c r="F74" s="72">
        <f>'IIIa. Coeficientes Potencia'!G18</f>
        <v>0.50701446041446507</v>
      </c>
      <c r="G74" s="72">
        <f>'IIIa. Coeficientes Potencia'!H18</f>
        <v>0.53531572594919685</v>
      </c>
      <c r="H74" s="78">
        <f>'IIIa. Coeficientes Potencia'!I18</f>
        <v>0.71892614578712177</v>
      </c>
      <c r="J74" s="156">
        <f>$K$34*C74</f>
        <v>97932.507150473481</v>
      </c>
      <c r="K74" s="157">
        <f>$K$35*D74</f>
        <v>64267.583040424142</v>
      </c>
      <c r="L74" s="157">
        <f>$K$36*E74</f>
        <v>28303.638756398199</v>
      </c>
      <c r="M74" s="157">
        <f>$K$37*F74</f>
        <v>24392.580074240548</v>
      </c>
      <c r="N74" s="157">
        <f>$K$38*G74</f>
        <v>1155.635400049089</v>
      </c>
      <c r="O74" s="158">
        <f>$K$39*H74</f>
        <v>8425.2087466787762</v>
      </c>
    </row>
    <row r="75" spans="1:18" ht="17.25" x14ac:dyDescent="0.35">
      <c r="A75" s="634" t="s">
        <v>14</v>
      </c>
      <c r="B75" s="61" t="s">
        <v>63</v>
      </c>
      <c r="C75" s="71">
        <f>'IIIa. Coeficientes Potencia'!D19</f>
        <v>7.1900032100880473E-2</v>
      </c>
      <c r="D75" s="71">
        <f>'IIIa. Coeficientes Potencia'!E19</f>
        <v>6.6953892306224963E-2</v>
      </c>
      <c r="E75" s="71">
        <f>'IIIa. Coeficientes Potencia'!F19</f>
        <v>9.7895436661461374E-2</v>
      </c>
      <c r="F75" s="71">
        <f>'IIIa. Coeficientes Potencia'!G19</f>
        <v>0.10911849815111889</v>
      </c>
      <c r="G75" s="71">
        <f>'IIIa. Coeficientes Potencia'!H19</f>
        <v>0.1192134416599679</v>
      </c>
      <c r="H75" s="77">
        <f>'IIIa. Coeficientes Potencia'!I19</f>
        <v>9.3562838627855832E-2</v>
      </c>
      <c r="J75" s="153">
        <f>$L$34*C75</f>
        <v>26849.715224311956</v>
      </c>
      <c r="K75" s="154">
        <f>$L$35*D75</f>
        <v>16239.359439908001</v>
      </c>
      <c r="L75" s="154">
        <f>$L$36*E75</f>
        <v>13537.026398778195</v>
      </c>
      <c r="M75" s="154">
        <f>$L$37*F75</f>
        <v>12345.509903197009</v>
      </c>
      <c r="N75" s="154">
        <f>$L$38*G75</f>
        <v>352.61796834576899</v>
      </c>
      <c r="O75" s="155">
        <f>$L$39*H75</f>
        <v>1591.2940794159101</v>
      </c>
      <c r="P75" s="297"/>
      <c r="R75" s="127"/>
    </row>
    <row r="76" spans="1:18" ht="17.25" x14ac:dyDescent="0.35">
      <c r="A76" s="635"/>
      <c r="B76" s="61" t="s">
        <v>64</v>
      </c>
      <c r="C76" s="71">
        <f>'IIIa. Coeficientes Potencia'!D20</f>
        <v>2.6497266966558984E-2</v>
      </c>
      <c r="D76" s="71">
        <f>'IIIa. Coeficientes Potencia'!E20</f>
        <v>2.644877040796477E-2</v>
      </c>
      <c r="E76" s="71">
        <f>'IIIa. Coeficientes Potencia'!F20</f>
        <v>3.8269572229786809E-2</v>
      </c>
      <c r="F76" s="71">
        <f>'IIIa. Coeficientes Potencia'!G20</f>
        <v>3.7274272122788658E-2</v>
      </c>
      <c r="G76" s="71">
        <f>'IIIa. Coeficientes Potencia'!H20</f>
        <v>4.0196008325166441E-2</v>
      </c>
      <c r="H76" s="77">
        <f>'IIIa. Coeficientes Potencia'!I20</f>
        <v>2.9243937324560328E-2</v>
      </c>
      <c r="J76" s="153">
        <f>$L$34*C76</f>
        <v>9894.9061841373623</v>
      </c>
      <c r="K76" s="154">
        <f>$L$35*D76</f>
        <v>6415.0279334635297</v>
      </c>
      <c r="L76" s="154">
        <f>$L$36*E76</f>
        <v>5291.9342025726601</v>
      </c>
      <c r="M76" s="154">
        <f>$L$37*F76</f>
        <v>4217.1575252901248</v>
      </c>
      <c r="N76" s="154">
        <f>$L$38*G76</f>
        <v>118.89460277187355</v>
      </c>
      <c r="O76" s="155">
        <f>$L$39*H76</f>
        <v>497.37379718113897</v>
      </c>
    </row>
    <row r="77" spans="1:18" ht="17.25" x14ac:dyDescent="0.35">
      <c r="A77" s="635"/>
      <c r="B77" s="61" t="s">
        <v>65</v>
      </c>
      <c r="C77" s="71">
        <f>'IIIa. Coeficientes Potencia'!D21</f>
        <v>5.9155713223477291E-2</v>
      </c>
      <c r="D77" s="71">
        <f>'IIIa. Coeficientes Potencia'!E21</f>
        <v>6.0410578100223586E-2</v>
      </c>
      <c r="E77" s="71">
        <f>'IIIa. Coeficientes Potencia'!F21</f>
        <v>7.3530183169176949E-2</v>
      </c>
      <c r="F77" s="71">
        <f>'IIIa. Coeficientes Potencia'!G21</f>
        <v>7.2743878139669912E-2</v>
      </c>
      <c r="G77" s="71">
        <f>'IIIa. Coeficientes Potencia'!H21</f>
        <v>7.2947929391979069E-2</v>
      </c>
      <c r="H77" s="77">
        <f>'IIIa. Coeficientes Potencia'!I21</f>
        <v>4.8149320362373571E-2</v>
      </c>
      <c r="J77" s="153">
        <f>$L$34*C77</f>
        <v>22090.588940390477</v>
      </c>
      <c r="K77" s="154">
        <f>$L$35*D77</f>
        <v>14652.308595522167</v>
      </c>
      <c r="L77" s="154">
        <f>$L$36*E77</f>
        <v>10167.787841943373</v>
      </c>
      <c r="M77" s="154">
        <f>$L$37*F77</f>
        <v>8230.137723546397</v>
      </c>
      <c r="N77" s="154">
        <f>$L$38*G77</f>
        <v>215.77055656692792</v>
      </c>
      <c r="O77" s="155">
        <f>$L$39*H77</f>
        <v>818.91196915581304</v>
      </c>
    </row>
    <row r="78" spans="1:18" ht="17.25" x14ac:dyDescent="0.35">
      <c r="A78" s="635"/>
      <c r="B78" s="61" t="s">
        <v>66</v>
      </c>
      <c r="C78" s="71">
        <f>'IIIa. Coeficientes Potencia'!D22</f>
        <v>0.23639322951648273</v>
      </c>
      <c r="D78" s="71">
        <f>'IIIa. Coeficientes Potencia'!E22</f>
        <v>0.2330128539853803</v>
      </c>
      <c r="E78" s="71">
        <f>'IIIa. Coeficientes Potencia'!F22</f>
        <v>0.32060025932668296</v>
      </c>
      <c r="F78" s="71">
        <f>'IIIa. Coeficientes Potencia'!G22</f>
        <v>0.3137603335922195</v>
      </c>
      <c r="G78" s="71">
        <f>'IIIa. Coeficientes Potencia'!H22</f>
        <v>0.28032250402688086</v>
      </c>
      <c r="H78" s="77">
        <f>'IIIa. Coeficientes Potencia'!I22</f>
        <v>0.16080432876321582</v>
      </c>
      <c r="J78" s="153">
        <f>$L$34*C78</f>
        <v>88276.607228319321</v>
      </c>
      <c r="K78" s="154">
        <f>$L$35*D78</f>
        <v>56516.198829497756</v>
      </c>
      <c r="L78" s="154">
        <f>$L$36*E78</f>
        <v>44332.752597741521</v>
      </c>
      <c r="M78" s="154">
        <f>$L$37*F78</f>
        <v>35498.392767729129</v>
      </c>
      <c r="N78" s="154">
        <f>$L$38*G78</f>
        <v>829.15777344552828</v>
      </c>
      <c r="O78" s="155">
        <f>$L$39*H78</f>
        <v>2734.9210440604502</v>
      </c>
    </row>
    <row r="79" spans="1:18" ht="17.649999999999999" thickBot="1" x14ac:dyDescent="0.4">
      <c r="A79" s="637"/>
      <c r="B79" s="63" t="s">
        <v>67</v>
      </c>
      <c r="C79" s="73">
        <f>'IIIa. Coeficientes Potencia'!D23</f>
        <v>0.60605375819260054</v>
      </c>
      <c r="D79" s="73">
        <f>'IIIa. Coeficientes Potencia'!E23</f>
        <v>0.61317390520020632</v>
      </c>
      <c r="E79" s="73">
        <f>'IIIa. Coeficientes Potencia'!F23</f>
        <v>0.4697045486128919</v>
      </c>
      <c r="F79" s="73">
        <f>'IIIa. Coeficientes Potencia'!G23</f>
        <v>0.46710301799420295</v>
      </c>
      <c r="G79" s="73">
        <f>'IIIa. Coeficientes Potencia'!H23</f>
        <v>0.48732011659600571</v>
      </c>
      <c r="H79" s="79">
        <f>'IIIa. Coeficientes Potencia'!I23</f>
        <v>0.66823957492199448</v>
      </c>
      <c r="J79" s="159">
        <f>$L$34*C79</f>
        <v>226319.3818225858</v>
      </c>
      <c r="K79" s="160">
        <f>$L$35*D79</f>
        <v>148722.51788104681</v>
      </c>
      <c r="L79" s="160">
        <f>$L$36*E79</f>
        <v>64950.962895107397</v>
      </c>
      <c r="M79" s="160">
        <f>$L$37*F79</f>
        <v>52847.363482536282</v>
      </c>
      <c r="N79" s="160">
        <f>$L$38*G79</f>
        <v>1441.4299852045144</v>
      </c>
      <c r="O79" s="161">
        <f>$L$39*H79</f>
        <v>11365.256706610713</v>
      </c>
    </row>
    <row r="82" spans="1:15" s="371" customFormat="1" ht="16.5" x14ac:dyDescent="0.45">
      <c r="A82" s="370" t="s">
        <v>197</v>
      </c>
    </row>
    <row r="83" spans="1:15" ht="13.5" thickBot="1" x14ac:dyDescent="0.45">
      <c r="A83" s="98"/>
    </row>
    <row r="84" spans="1:15" ht="36.75" customHeight="1" x14ac:dyDescent="0.35">
      <c r="A84" s="57" t="s">
        <v>52</v>
      </c>
      <c r="B84" s="58" t="s">
        <v>51</v>
      </c>
      <c r="C84" s="64" t="s">
        <v>15</v>
      </c>
      <c r="D84" s="64" t="s">
        <v>16</v>
      </c>
      <c r="E84" s="64" t="s">
        <v>17</v>
      </c>
      <c r="F84" s="64" t="s">
        <v>18</v>
      </c>
      <c r="G84" s="64" t="s">
        <v>19</v>
      </c>
      <c r="H84" s="69" t="s">
        <v>20</v>
      </c>
      <c r="J84" s="147" t="s">
        <v>15</v>
      </c>
      <c r="K84" s="148" t="s">
        <v>16</v>
      </c>
      <c r="L84" s="148" t="s">
        <v>17</v>
      </c>
      <c r="M84" s="148" t="s">
        <v>18</v>
      </c>
      <c r="N84" s="148" t="s">
        <v>19</v>
      </c>
      <c r="O84" s="149" t="s">
        <v>20</v>
      </c>
    </row>
    <row r="85" spans="1:15" ht="18" x14ac:dyDescent="0.35">
      <c r="A85" s="146" t="s">
        <v>10</v>
      </c>
      <c r="B85" s="60" t="s">
        <v>53</v>
      </c>
      <c r="C85" s="70">
        <f>'IIIb. Coeficientes Energía'!D9</f>
        <v>1</v>
      </c>
      <c r="D85" s="70">
        <f>'IIIb. Coeficientes Energía'!E9</f>
        <v>1</v>
      </c>
      <c r="E85" s="70">
        <f>'IIIb. Coeficientes Energía'!F9</f>
        <v>1</v>
      </c>
      <c r="F85" s="70">
        <f>'IIIb. Coeficientes Energía'!G9</f>
        <v>1</v>
      </c>
      <c r="G85" s="70">
        <f>'IIIb. Coeficientes Energía'!H9</f>
        <v>1</v>
      </c>
      <c r="H85" s="76">
        <f>'IIIb. Coeficientes Energía'!I9</f>
        <v>1</v>
      </c>
      <c r="J85" s="150">
        <f>$H$50*C85</f>
        <v>0</v>
      </c>
      <c r="K85" s="151">
        <f>$H$51*D85</f>
        <v>0</v>
      </c>
      <c r="L85" s="151">
        <f>$H$52*E85</f>
        <v>0</v>
      </c>
      <c r="M85" s="151">
        <f>$H$53*F85</f>
        <v>0</v>
      </c>
      <c r="N85" s="151">
        <f>$H$54*G85</f>
        <v>0</v>
      </c>
      <c r="O85" s="152">
        <f>$H$55*H85</f>
        <v>0</v>
      </c>
    </row>
    <row r="86" spans="1:15" ht="18" x14ac:dyDescent="0.35">
      <c r="A86" s="634" t="s">
        <v>11</v>
      </c>
      <c r="B86" s="61" t="s">
        <v>54</v>
      </c>
      <c r="C86" s="71">
        <f>'IIIb. Coeficientes Energía'!D10</f>
        <v>0.34542704917353567</v>
      </c>
      <c r="D86" s="71">
        <f>'IIIb. Coeficientes Energía'!E10</f>
        <v>0.3505580396640437</v>
      </c>
      <c r="E86" s="71">
        <f>'IIIb. Coeficientes Energía'!F10</f>
        <v>0.39239822401043795</v>
      </c>
      <c r="F86" s="71">
        <f>'IIIb. Coeficientes Energía'!G10</f>
        <v>0.39490521999250183</v>
      </c>
      <c r="G86" s="71">
        <f>'IIIb. Coeficientes Energía'!H10</f>
        <v>0.39612724687676054</v>
      </c>
      <c r="H86" s="77">
        <f>'IIIb. Coeficientes Energía'!I10</f>
        <v>0.36835497559075409</v>
      </c>
      <c r="J86" s="153">
        <f>$I$50*C86</f>
        <v>77187.516494651674</v>
      </c>
      <c r="K86" s="154">
        <f>$I$51*D86</f>
        <v>50786.328126622815</v>
      </c>
      <c r="L86" s="154">
        <f>$I$52*E86</f>
        <v>32386.038300009342</v>
      </c>
      <c r="M86" s="154">
        <f>$I$53*F86</f>
        <v>25658.279555094796</v>
      </c>
      <c r="N86" s="154">
        <f>$I$54*G86</f>
        <v>695.61293582806013</v>
      </c>
      <c r="O86" s="155">
        <f>$I$55*H86</f>
        <v>3395.9303786686792</v>
      </c>
    </row>
    <row r="87" spans="1:15" ht="18" x14ac:dyDescent="0.35">
      <c r="A87" s="636"/>
      <c r="B87" s="62" t="s">
        <v>55</v>
      </c>
      <c r="C87" s="72">
        <f>'IIIb. Coeficientes Energía'!D11</f>
        <v>0.65457295082646427</v>
      </c>
      <c r="D87" s="72">
        <f>'IIIb. Coeficientes Energía'!E11</f>
        <v>0.64944196033595625</v>
      </c>
      <c r="E87" s="72">
        <f>'IIIb. Coeficientes Energía'!F11</f>
        <v>0.60760177598956211</v>
      </c>
      <c r="F87" s="72">
        <f>'IIIb. Coeficientes Energía'!G11</f>
        <v>0.60509478000749817</v>
      </c>
      <c r="G87" s="72">
        <f>'IIIb. Coeficientes Energía'!H11</f>
        <v>0.60387275312323951</v>
      </c>
      <c r="H87" s="78">
        <f>'IIIb. Coeficientes Energía'!I11</f>
        <v>0.63164502440924575</v>
      </c>
      <c r="J87" s="156">
        <f>$I$50*C87</f>
        <v>146267.81706804858</v>
      </c>
      <c r="K87" s="157">
        <f>$I$51*D87</f>
        <v>94086.481452338048</v>
      </c>
      <c r="L87" s="157">
        <f>$I$52*E87</f>
        <v>50147.562308610803</v>
      </c>
      <c r="M87" s="157">
        <f>$I$53*F87</f>
        <v>39314.980498499775</v>
      </c>
      <c r="N87" s="157">
        <f>$I$54*G87</f>
        <v>1060.4211196744961</v>
      </c>
      <c r="O87" s="158">
        <f>$I$55*H87</f>
        <v>5823.2484127197395</v>
      </c>
    </row>
    <row r="88" spans="1:15" ht="17.25" x14ac:dyDescent="0.35">
      <c r="A88" s="634" t="s">
        <v>12</v>
      </c>
      <c r="B88" s="61" t="s">
        <v>56</v>
      </c>
      <c r="C88" s="71">
        <f>'IIIb. Coeficientes Energía'!D12</f>
        <v>0.18861973100435941</v>
      </c>
      <c r="D88" s="71">
        <f>'IIIb. Coeficientes Energía'!E12</f>
        <v>0.20118536253611852</v>
      </c>
      <c r="E88" s="71">
        <f>'IIIb. Coeficientes Energía'!F12</f>
        <v>0.21494150205196724</v>
      </c>
      <c r="F88" s="71">
        <f>'IIIb. Coeficientes Energía'!G12</f>
        <v>0.22121530412529553</v>
      </c>
      <c r="G88" s="71">
        <f>'IIIb. Coeficientes Energía'!H12</f>
        <v>0.2314411255741036</v>
      </c>
      <c r="H88" s="77">
        <f>'IIIb. Coeficientes Energía'!I12</f>
        <v>0.23168323344444436</v>
      </c>
      <c r="J88" s="153">
        <f>$J$50*C88</f>
        <v>12085.300458121454</v>
      </c>
      <c r="K88" s="154">
        <f>$J$51*D88</f>
        <v>9200.213769587599</v>
      </c>
      <c r="L88" s="154">
        <f>$J$52*E88</f>
        <v>4536.5919313400836</v>
      </c>
      <c r="M88" s="154">
        <f>$J$53*F88</f>
        <v>3946.4233152044035</v>
      </c>
      <c r="N88" s="154">
        <f>$J$54*G88</f>
        <v>174.45842121763735</v>
      </c>
      <c r="O88" s="155">
        <f>$J$55*H88</f>
        <v>291.06820023921199</v>
      </c>
    </row>
    <row r="89" spans="1:15" ht="17.25" x14ac:dyDescent="0.35">
      <c r="A89" s="635"/>
      <c r="B89" s="61" t="s">
        <v>57</v>
      </c>
      <c r="C89" s="71">
        <f>'IIIb. Coeficientes Energía'!D13</f>
        <v>0.28018799549985302</v>
      </c>
      <c r="D89" s="71">
        <f>'IIIb. Coeficientes Energía'!E13</f>
        <v>0.27994596821830586</v>
      </c>
      <c r="E89" s="71">
        <f>'IIIb. Coeficientes Energía'!F13</f>
        <v>0.30795946311082967</v>
      </c>
      <c r="F89" s="71">
        <f>'IIIb. Coeficientes Energía'!G13</f>
        <v>0.30745053250727128</v>
      </c>
      <c r="G89" s="71">
        <f>'IIIb. Coeficientes Energía'!H13</f>
        <v>0.30435526073410374</v>
      </c>
      <c r="H89" s="77">
        <f>'IIIb. Coeficientes Energía'!I13</f>
        <v>0.28293035349587797</v>
      </c>
      <c r="J89" s="153">
        <f>$J$50*C89</f>
        <v>17952.28999820938</v>
      </c>
      <c r="K89" s="154">
        <f>$J$51*D89</f>
        <v>12801.939062938553</v>
      </c>
      <c r="L89" s="154">
        <f>$J$52*E89</f>
        <v>6499.8448516966027</v>
      </c>
      <c r="M89" s="154">
        <f>$J$53*F89</f>
        <v>5484.837292592917</v>
      </c>
      <c r="N89" s="154">
        <f>$J$54*G89</f>
        <v>229.4204979570635</v>
      </c>
      <c r="O89" s="155">
        <f>$J$55*H89</f>
        <v>355.45096449474647</v>
      </c>
    </row>
    <row r="90" spans="1:15" ht="17.25" x14ac:dyDescent="0.35">
      <c r="A90" s="636"/>
      <c r="B90" s="62" t="s">
        <v>58</v>
      </c>
      <c r="C90" s="72">
        <f>'IIIb. Coeficientes Energía'!D14</f>
        <v>0.53119227349578746</v>
      </c>
      <c r="D90" s="72">
        <f>'IIIb. Coeficientes Energía'!E14</f>
        <v>0.51886866924557551</v>
      </c>
      <c r="E90" s="72">
        <f>'IIIb. Coeficientes Energía'!F14</f>
        <v>0.47709903483720306</v>
      </c>
      <c r="F90" s="72">
        <f>'IIIb. Coeficientes Energía'!G14</f>
        <v>0.47133416336743322</v>
      </c>
      <c r="G90" s="72">
        <f>'IIIb. Coeficientes Energía'!H14</f>
        <v>0.46420361369179269</v>
      </c>
      <c r="H90" s="78">
        <f>'IIIb. Coeficientes Energía'!I14</f>
        <v>0.4853864130596775</v>
      </c>
      <c r="J90" s="156">
        <f>$J$50*C90</f>
        <v>34034.712021092026</v>
      </c>
      <c r="K90" s="157">
        <f>$J$51*D90</f>
        <v>23727.882661163891</v>
      </c>
      <c r="L90" s="157">
        <f>$J$52*E90</f>
        <v>10069.73344482026</v>
      </c>
      <c r="M90" s="157">
        <f>$J$53*F90</f>
        <v>8408.4785133674795</v>
      </c>
      <c r="N90" s="157">
        <f>$J$54*G90</f>
        <v>349.91287467733292</v>
      </c>
      <c r="O90" s="158">
        <f>$J$55*H90</f>
        <v>609.80049168609753</v>
      </c>
    </row>
    <row r="91" spans="1:15" ht="17.25" x14ac:dyDescent="0.35">
      <c r="A91" s="634" t="s">
        <v>13</v>
      </c>
      <c r="B91" s="61" t="s">
        <v>59</v>
      </c>
      <c r="C91" s="71">
        <f>'IIIb. Coeficientes Energía'!D15</f>
        <v>8.1404977949831939E-2</v>
      </c>
      <c r="D91" s="71">
        <f>'IIIb. Coeficientes Energía'!E15</f>
        <v>8.7993583006148041E-2</v>
      </c>
      <c r="E91" s="71">
        <f>'IIIb. Coeficientes Energía'!F15</f>
        <v>9.6913071245521842E-2</v>
      </c>
      <c r="F91" s="71">
        <f>'IIIb. Coeficientes Energía'!G15</f>
        <v>0.100418347628713</v>
      </c>
      <c r="G91" s="71">
        <f>'IIIb. Coeficientes Energía'!H15</f>
        <v>0.10688686225374382</v>
      </c>
      <c r="H91" s="77">
        <f>'IIIb. Coeficientes Energía'!I15</f>
        <v>0.122682367300239</v>
      </c>
      <c r="J91" s="153">
        <f>$K$50*C91</f>
        <v>4142.3586920779771</v>
      </c>
      <c r="K91" s="154">
        <f>$K$51*D91</f>
        <v>2912.7178287558877</v>
      </c>
      <c r="L91" s="154">
        <f>$K$52*E91</f>
        <v>1813.1982250074138</v>
      </c>
      <c r="M91" s="154">
        <f>$K$53*F91</f>
        <v>1610.3831196806254</v>
      </c>
      <c r="N91" s="154">
        <f>$K$54*G91</f>
        <v>76.915507262294128</v>
      </c>
      <c r="O91" s="155">
        <f>$K$55*H91</f>
        <v>479.24466237977771</v>
      </c>
    </row>
    <row r="92" spans="1:15" ht="17.25" x14ac:dyDescent="0.35">
      <c r="A92" s="635"/>
      <c r="B92" s="61" t="s">
        <v>60</v>
      </c>
      <c r="C92" s="71">
        <f>'IIIb. Coeficientes Energía'!D16</f>
        <v>5.755045388920229E-2</v>
      </c>
      <c r="D92" s="71">
        <f>'IIIb. Coeficientes Energía'!E16</f>
        <v>6.1654251114006603E-2</v>
      </c>
      <c r="E92" s="71">
        <f>'IIIb. Coeficientes Energía'!F16</f>
        <v>6.5057883785356693E-2</v>
      </c>
      <c r="F92" s="71">
        <f>'IIIb. Coeficientes Energía'!G16</f>
        <v>6.6998675682227019E-2</v>
      </c>
      <c r="G92" s="71">
        <f>'IIIb. Coeficientes Energía'!H16</f>
        <v>7.0375147986936643E-2</v>
      </c>
      <c r="H92" s="77">
        <f>'IIIb. Coeficientes Energía'!I16</f>
        <v>6.9525772151461399E-2</v>
      </c>
      <c r="J92" s="153">
        <f>$K$50*C92</f>
        <v>2928.5017809093588</v>
      </c>
      <c r="K92" s="154">
        <f>$K$51*D92</f>
        <v>2040.8469606904446</v>
      </c>
      <c r="L92" s="154">
        <f>$K$52*E92</f>
        <v>1217.2025701620532</v>
      </c>
      <c r="M92" s="154">
        <f>$K$53*F92</f>
        <v>1074.4404673789393</v>
      </c>
      <c r="N92" s="154">
        <f>$K$54*G92</f>
        <v>50.641772917088844</v>
      </c>
      <c r="O92" s="155">
        <f>$K$55*H92</f>
        <v>271.59449181378454</v>
      </c>
    </row>
    <row r="93" spans="1:15" ht="17.25" x14ac:dyDescent="0.35">
      <c r="A93" s="635"/>
      <c r="B93" s="61" t="s">
        <v>61</v>
      </c>
      <c r="C93" s="71">
        <f>'IIIb. Coeficientes Energía'!D17</f>
        <v>0.29740224230532497</v>
      </c>
      <c r="D93" s="71">
        <f>'IIIb. Coeficientes Energía'!E17</f>
        <v>0.29807176256316964</v>
      </c>
      <c r="E93" s="71">
        <f>'IIIb. Coeficientes Energía'!F17</f>
        <v>0.32881202247873786</v>
      </c>
      <c r="F93" s="71">
        <f>'IIIb. Coeficientes Energía'!G17</f>
        <v>0.32876240677724822</v>
      </c>
      <c r="G93" s="71">
        <f>'IIIb. Coeficientes Energía'!H17</f>
        <v>0.32588100554194122</v>
      </c>
      <c r="H93" s="77">
        <f>'IIIb. Coeficientes Energía'!I17</f>
        <v>0.29752925853843104</v>
      </c>
      <c r="J93" s="153">
        <f>$K$50*C93</f>
        <v>15133.555643441912</v>
      </c>
      <c r="K93" s="154">
        <f>$K$51*D93</f>
        <v>9866.6164895885158</v>
      </c>
      <c r="L93" s="154">
        <f>$K$52*E93</f>
        <v>6151.9191153184574</v>
      </c>
      <c r="M93" s="154">
        <f>$K$53*F93</f>
        <v>5272.2778532184575</v>
      </c>
      <c r="N93" s="154">
        <f>$K$54*G93</f>
        <v>234.50312152396407</v>
      </c>
      <c r="O93" s="155">
        <f>$K$55*H93</f>
        <v>1162.2640823957934</v>
      </c>
    </row>
    <row r="94" spans="1:15" ht="15.75" x14ac:dyDescent="0.35">
      <c r="A94" s="636"/>
      <c r="B94" s="62" t="s">
        <v>62</v>
      </c>
      <c r="C94" s="72">
        <f>'IIIb. Coeficientes Energía'!D18</f>
        <v>0.56364232585564078</v>
      </c>
      <c r="D94" s="72">
        <f>'IIIb. Coeficientes Energía'!E18</f>
        <v>0.55228040331667561</v>
      </c>
      <c r="E94" s="72">
        <f>'IIIb. Coeficientes Energía'!F18</f>
        <v>0.5092170224903837</v>
      </c>
      <c r="F94" s="72">
        <f>'IIIb. Coeficientes Energía'!G18</f>
        <v>0.50382056991181157</v>
      </c>
      <c r="G94" s="72">
        <f>'IIIb. Coeficientes Energía'!H18</f>
        <v>0.49685698421737834</v>
      </c>
      <c r="H94" s="78">
        <f>'IIIb. Coeficientes Energía'!I18</f>
        <v>0.51026260200986828</v>
      </c>
      <c r="J94" s="156">
        <f>$K$50*C94</f>
        <v>28681.399424615669</v>
      </c>
      <c r="K94" s="157">
        <f>$K$51*D94</f>
        <v>18281.298729483253</v>
      </c>
      <c r="L94" s="157">
        <f>$K$52*E94</f>
        <v>9527.2122682397039</v>
      </c>
      <c r="M94" s="157">
        <f>$K$53*F94</f>
        <v>8079.6404272027976</v>
      </c>
      <c r="N94" s="157">
        <f>$K$54*G94</f>
        <v>357.53698978617712</v>
      </c>
      <c r="O94" s="158">
        <f>$K$55*H94</f>
        <v>1993.282602925203</v>
      </c>
    </row>
    <row r="95" spans="1:15" ht="17.25" x14ac:dyDescent="0.35">
      <c r="A95" s="634" t="s">
        <v>14</v>
      </c>
      <c r="B95" s="61" t="s">
        <v>63</v>
      </c>
      <c r="C95" s="71">
        <f>'IIIb. Coeficientes Energía'!D19</f>
        <v>9.1036227711661366E-2</v>
      </c>
      <c r="D95" s="71">
        <f>'IIIb. Coeficientes Energía'!E19</f>
        <v>0.10384716691290757</v>
      </c>
      <c r="E95" s="71">
        <f>'IIIb. Coeficientes Energía'!F19</f>
        <v>0.11265926709094508</v>
      </c>
      <c r="F95" s="71">
        <f>'IIIb. Coeficientes Energía'!G19</f>
        <v>0.11885845310313194</v>
      </c>
      <c r="G95" s="71">
        <f>'IIIb. Coeficientes Energía'!H19</f>
        <v>0.13232930588274811</v>
      </c>
      <c r="H95" s="77">
        <f>'IIIb. Coeficientes Energía'!I19</f>
        <v>0.15529282758693699</v>
      </c>
      <c r="J95" s="153">
        <f>$L$50*C95</f>
        <v>11331.922567731333</v>
      </c>
      <c r="K95" s="154">
        <f>$L$51*D95</f>
        <v>8395.8846514938923</v>
      </c>
      <c r="L95" s="154">
        <f>$L$52*E95</f>
        <v>5192.8585733472501</v>
      </c>
      <c r="M95" s="154">
        <f>$L$53*F95</f>
        <v>4482.491464863655</v>
      </c>
      <c r="N95" s="154">
        <f>$L$54*G95</f>
        <v>130.47100042648276</v>
      </c>
      <c r="O95" s="155">
        <f>$L$55*H95</f>
        <v>880.39425602063125</v>
      </c>
    </row>
    <row r="96" spans="1:15" ht="17.25" x14ac:dyDescent="0.35">
      <c r="A96" s="635"/>
      <c r="B96" s="61" t="s">
        <v>64</v>
      </c>
      <c r="C96" s="71">
        <f>'IIIb. Coeficientes Energía'!D20</f>
        <v>3.4320752451543861E-2</v>
      </c>
      <c r="D96" s="71">
        <f>'IIIb. Coeficientes Energía'!E20</f>
        <v>3.6871464292270451E-2</v>
      </c>
      <c r="E96" s="71">
        <f>'IIIb. Coeficientes Energía'!F20</f>
        <v>4.1023581179183859E-2</v>
      </c>
      <c r="F96" s="71">
        <f>'IIIb. Coeficientes Energía'!G20</f>
        <v>4.2295165186208676E-2</v>
      </c>
      <c r="G96" s="71">
        <f>'IIIb. Coeficientes Energía'!H20</f>
        <v>4.4288717672038652E-2</v>
      </c>
      <c r="H96" s="77">
        <f>'IIIb. Coeficientes Energía'!I20</f>
        <v>5.010114919644075E-2</v>
      </c>
      <c r="J96" s="153">
        <f>$L$50*C96</f>
        <v>4272.14658409392</v>
      </c>
      <c r="K96" s="154">
        <f>$L$51*D96</f>
        <v>2981.0015076213031</v>
      </c>
      <c r="L96" s="154">
        <f>$L$52*E96</f>
        <v>1890.9199459265251</v>
      </c>
      <c r="M96" s="154">
        <f>$L$53*F96</f>
        <v>1595.0713811467492</v>
      </c>
      <c r="N96" s="154">
        <f>$L$54*G96</f>
        <v>43.666769531738808</v>
      </c>
      <c r="O96" s="155">
        <f>$L$55*H96</f>
        <v>284.03606694511285</v>
      </c>
    </row>
    <row r="97" spans="1:15" ht="17.25" x14ac:dyDescent="0.35">
      <c r="A97" s="635"/>
      <c r="B97" s="61" t="s">
        <v>65</v>
      </c>
      <c r="C97" s="71">
        <f>'IIIb. Coeficientes Energía'!D21</f>
        <v>7.1049233685492472E-2</v>
      </c>
      <c r="D97" s="71">
        <f>'IIIb. Coeficientes Energía'!E21</f>
        <v>7.4734456037790761E-2</v>
      </c>
      <c r="E97" s="71">
        <f>'IIIb. Coeficientes Energía'!F21</f>
        <v>7.8496497506086671E-2</v>
      </c>
      <c r="F97" s="71">
        <f>'IIIb. Coeficientes Energía'!G21</f>
        <v>8.03003011244669E-2</v>
      </c>
      <c r="G97" s="71">
        <f>'IIIb. Coeficientes Energía'!H21</f>
        <v>8.2520731831404542E-2</v>
      </c>
      <c r="H97" s="77">
        <f>'IIIb. Coeficientes Energía'!I21</f>
        <v>7.9699348101854889E-2</v>
      </c>
      <c r="J97" s="153">
        <f>$L$50*C97</f>
        <v>8844.0001838687385</v>
      </c>
      <c r="K97" s="154">
        <f>$L$51*D97</f>
        <v>6042.1664936864327</v>
      </c>
      <c r="L97" s="154">
        <f>$L$52*E97</f>
        <v>3618.1773641679897</v>
      </c>
      <c r="M97" s="154">
        <f>$L$53*F97</f>
        <v>3028.3535164645318</v>
      </c>
      <c r="N97" s="154">
        <f>$L$54*G97</f>
        <v>81.361890067712494</v>
      </c>
      <c r="O97" s="155">
        <f>$L$55*H97</f>
        <v>451.83573103645506</v>
      </c>
    </row>
    <row r="98" spans="1:15" ht="17.25" x14ac:dyDescent="0.35">
      <c r="A98" s="635"/>
      <c r="B98" s="61" t="s">
        <v>66</v>
      </c>
      <c r="C98" s="71">
        <f>'IIIb. Coeficientes Energía'!D22</f>
        <v>0.27755112679875171</v>
      </c>
      <c r="D98" s="71">
        <f>'IIIb. Coeficientes Energía'!E22</f>
        <v>0.27499768056197682</v>
      </c>
      <c r="E98" s="71">
        <f>'IIIb. Coeficientes Energía'!F22</f>
        <v>0.30125636643034176</v>
      </c>
      <c r="F98" s="71">
        <f>'IIIb. Coeficientes Energía'!G22</f>
        <v>0.29951910107831281</v>
      </c>
      <c r="G98" s="71">
        <f>'IIIb. Coeficientes Energía'!H22</f>
        <v>0.29344257578001076</v>
      </c>
      <c r="H98" s="77">
        <f>'IIIb. Coeficientes Energía'!I22</f>
        <v>0.26331089584713813</v>
      </c>
      <c r="J98" s="153">
        <f>$L$50*C98</f>
        <v>34548.750058402846</v>
      </c>
      <c r="K98" s="154">
        <f>$L$51*D98</f>
        <v>22233.14197259767</v>
      </c>
      <c r="L98" s="154">
        <f>$L$52*E98</f>
        <v>13885.956704568134</v>
      </c>
      <c r="M98" s="154">
        <f>$L$53*F98</f>
        <v>11295.720069503363</v>
      </c>
      <c r="N98" s="154">
        <f>$L$54*G98</f>
        <v>289.32175057024415</v>
      </c>
      <c r="O98" s="155">
        <f>$L$55*H98</f>
        <v>1492.7759630217929</v>
      </c>
    </row>
    <row r="99" spans="1:15" ht="17.649999999999999" thickBot="1" x14ac:dyDescent="0.4">
      <c r="A99" s="637"/>
      <c r="B99" s="63" t="s">
        <v>67</v>
      </c>
      <c r="C99" s="73">
        <f>'IIIb. Coeficientes Energía'!D23</f>
        <v>0.52604265935255057</v>
      </c>
      <c r="D99" s="73">
        <f>'IIIb. Coeficientes Energía'!E23</f>
        <v>0.50954923219505432</v>
      </c>
      <c r="E99" s="73">
        <f>'IIIb. Coeficientes Energía'!F23</f>
        <v>0.46656428779344261</v>
      </c>
      <c r="F99" s="73">
        <f>'IIIb. Coeficientes Energía'!G23</f>
        <v>0.45902697950787963</v>
      </c>
      <c r="G99" s="73">
        <f>'IIIb. Coeficientes Energía'!H23</f>
        <v>0.44741866883379811</v>
      </c>
      <c r="H99" s="79">
        <f>'IIIb. Coeficientes Energía'!I23</f>
        <v>0.45159577926762906</v>
      </c>
      <c r="J99" s="159">
        <f>$L$50*C99</f>
        <v>65480.247072484803</v>
      </c>
      <c r="K99" s="160">
        <f>$L$51*D99</f>
        <v>41196.276267746791</v>
      </c>
      <c r="L99" s="160">
        <f>$L$52*E99</f>
        <v>21505.575390704485</v>
      </c>
      <c r="M99" s="160">
        <f>$L$53*F99</f>
        <v>17311.217368788024</v>
      </c>
      <c r="N99" s="160">
        <f>$L$54*G99</f>
        <v>441.13555151535974</v>
      </c>
      <c r="O99" s="161">
        <f>$L$55*H99</f>
        <v>2560.2105151173482</v>
      </c>
    </row>
  </sheetData>
  <mergeCells count="18">
    <mergeCell ref="A91:A94"/>
    <mergeCell ref="A95:A99"/>
    <mergeCell ref="A66:A67"/>
    <mergeCell ref="A68:A70"/>
    <mergeCell ref="A71:A74"/>
    <mergeCell ref="A75:A79"/>
    <mergeCell ref="A86:A87"/>
    <mergeCell ref="A88:A90"/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A106"/>
  <sheetViews>
    <sheetView showGridLines="0" topLeftCell="A5" workbookViewId="0">
      <selection activeCell="F32" sqref="F32"/>
    </sheetView>
  </sheetViews>
  <sheetFormatPr baseColWidth="10" defaultRowHeight="12.75" x14ac:dyDescent="0.35"/>
  <cols>
    <col min="2" max="2" width="14.1328125" customWidth="1"/>
    <col min="3" max="3" width="15.3984375" customWidth="1"/>
    <col min="4" max="4" width="17" customWidth="1"/>
    <col min="5" max="5" width="13.265625" customWidth="1"/>
    <col min="6" max="6" width="13.73046875" bestFit="1" customWidth="1"/>
    <col min="7" max="7" width="18.3984375" customWidth="1"/>
    <col min="8" max="8" width="2.265625" customWidth="1"/>
    <col min="9" max="9" width="19.265625" customWidth="1"/>
    <col min="10" max="12" width="12.86328125" bestFit="1" customWidth="1"/>
    <col min="13" max="13" width="11.86328125" bestFit="1" customWidth="1"/>
    <col min="14" max="14" width="12.86328125" bestFit="1" customWidth="1"/>
    <col min="15" max="15" width="5.3984375" customWidth="1"/>
    <col min="21" max="21" width="2.132812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69" customFormat="1" ht="30" customHeight="1" x14ac:dyDescent="0.35">
      <c r="A6" s="369" t="s">
        <v>190</v>
      </c>
    </row>
    <row r="7" spans="1:14" s="5" customFormat="1" ht="16.5" customHeight="1" x14ac:dyDescent="0.35">
      <c r="A7" s="5" t="s">
        <v>200</v>
      </c>
    </row>
    <row r="8" spans="1:14" ht="5.25" customHeight="1" thickBot="1" x14ac:dyDescent="0.4"/>
    <row r="9" spans="1:14" ht="25.5" customHeight="1" thickBot="1" x14ac:dyDescent="0.4">
      <c r="B9" s="291" t="s">
        <v>94</v>
      </c>
      <c r="C9" s="178"/>
      <c r="D9" s="178"/>
      <c r="E9" s="178"/>
      <c r="F9" s="178"/>
      <c r="G9" s="179"/>
      <c r="I9" s="291" t="s">
        <v>95</v>
      </c>
      <c r="J9" s="178"/>
      <c r="K9" s="178"/>
      <c r="L9" s="178"/>
      <c r="M9" s="178"/>
      <c r="N9" s="179"/>
    </row>
    <row r="10" spans="1:14" ht="13.15" thickBot="1" x14ac:dyDescent="0.4"/>
    <row r="11" spans="1:14" ht="30" customHeight="1" x14ac:dyDescent="0.35">
      <c r="A11" s="638" t="s">
        <v>52</v>
      </c>
      <c r="B11" s="162" t="s">
        <v>103</v>
      </c>
      <c r="C11" s="162"/>
      <c r="D11" s="162"/>
      <c r="E11" s="162"/>
      <c r="F11" s="162"/>
      <c r="G11" s="163"/>
      <c r="I11" s="180" t="s">
        <v>103</v>
      </c>
      <c r="J11" s="162"/>
      <c r="K11" s="162"/>
      <c r="L11" s="162"/>
      <c r="M11" s="162"/>
      <c r="N11" s="163"/>
    </row>
    <row r="12" spans="1:14" ht="25.15" customHeight="1" x14ac:dyDescent="0.35">
      <c r="A12" s="639"/>
      <c r="B12" s="164" t="s">
        <v>15</v>
      </c>
      <c r="C12" s="164" t="s">
        <v>16</v>
      </c>
      <c r="D12" s="164" t="s">
        <v>17</v>
      </c>
      <c r="E12" s="164" t="s">
        <v>18</v>
      </c>
      <c r="F12" s="164" t="s">
        <v>19</v>
      </c>
      <c r="G12" s="165" t="s">
        <v>20</v>
      </c>
      <c r="I12" s="181" t="s">
        <v>15</v>
      </c>
      <c r="J12" s="164" t="s">
        <v>16</v>
      </c>
      <c r="K12" s="164" t="s">
        <v>17</v>
      </c>
      <c r="L12" s="164" t="s">
        <v>18</v>
      </c>
      <c r="M12" s="164" t="s">
        <v>19</v>
      </c>
      <c r="N12" s="165" t="s">
        <v>20</v>
      </c>
    </row>
    <row r="13" spans="1:14" ht="15" customHeight="1" x14ac:dyDescent="0.35">
      <c r="A13" s="168" t="s">
        <v>10</v>
      </c>
      <c r="B13" s="169">
        <f>'IV. Metodología de asignación'!J79</f>
        <v>226319.3818225858</v>
      </c>
      <c r="C13" s="169">
        <f>'IV. Metodología de asignación'!K79</f>
        <v>148722.51788104681</v>
      </c>
      <c r="D13" s="169">
        <f>'IV. Metodología de asignación'!L79</f>
        <v>64950.962895107397</v>
      </c>
      <c r="E13" s="169">
        <f>'IV. Metodología de asignación'!M79</f>
        <v>52847.363482536282</v>
      </c>
      <c r="F13" s="169">
        <f>'IV. Metodología de asignación'!N79</f>
        <v>1441.4299852045144</v>
      </c>
      <c r="G13" s="170">
        <f>'IV. Metodología de asignación'!O79</f>
        <v>11365.256706610713</v>
      </c>
      <c r="I13" s="182">
        <f>'IV. Metodología de asignación'!J99</f>
        <v>65480.247072484803</v>
      </c>
      <c r="J13" s="169">
        <f>'IV. Metodología de asignación'!K99</f>
        <v>41196.276267746791</v>
      </c>
      <c r="K13" s="169">
        <f>'IV. Metodología de asignación'!L99</f>
        <v>21505.575390704485</v>
      </c>
      <c r="L13" s="169">
        <f>'IV. Metodología de asignación'!M99</f>
        <v>17311.217368788024</v>
      </c>
      <c r="M13" s="169">
        <f>'IV. Metodología de asignación'!N99</f>
        <v>441.13555151535974</v>
      </c>
      <c r="N13" s="170">
        <f>'IV. Metodología de asignación'!O99</f>
        <v>2560.2105151173482</v>
      </c>
    </row>
    <row r="14" spans="1:14" ht="15" customHeight="1" x14ac:dyDescent="0.35">
      <c r="A14" s="171" t="s">
        <v>11</v>
      </c>
      <c r="B14" s="172">
        <f>'IV. Metodología de asignación'!J78</f>
        <v>88276.607228319321</v>
      </c>
      <c r="C14" s="172">
        <f>'IV. Metodología de asignación'!K78</f>
        <v>56516.198829497756</v>
      </c>
      <c r="D14" s="172">
        <f>'IV. Metodología de asignación'!L78</f>
        <v>44332.752597741521</v>
      </c>
      <c r="E14" s="172">
        <f>'IV. Metodología de asignación'!M78</f>
        <v>35498.392767729129</v>
      </c>
      <c r="F14" s="172">
        <f>'IV. Metodología de asignación'!N78</f>
        <v>829.15777344552828</v>
      </c>
      <c r="G14" s="173">
        <f>'IV. Metodología de asignación'!O78</f>
        <v>2734.9210440604502</v>
      </c>
      <c r="I14" s="183">
        <f>'IV. Metodología de asignación'!J98</f>
        <v>34548.750058402846</v>
      </c>
      <c r="J14" s="172">
        <f>'IV. Metodología de asignación'!K98</f>
        <v>22233.14197259767</v>
      </c>
      <c r="K14" s="172">
        <f>'IV. Metodología de asignación'!L98</f>
        <v>13885.956704568134</v>
      </c>
      <c r="L14" s="172">
        <f>'IV. Metodología de asignación'!M98</f>
        <v>11295.720069503363</v>
      </c>
      <c r="M14" s="172">
        <f>'IV. Metodología de asignación'!N98</f>
        <v>289.32175057024415</v>
      </c>
      <c r="N14" s="173">
        <f>'IV. Metodología de asignación'!O98</f>
        <v>1492.7759630217929</v>
      </c>
    </row>
    <row r="15" spans="1:14" ht="15" customHeight="1" x14ac:dyDescent="0.35">
      <c r="A15" s="171" t="s">
        <v>12</v>
      </c>
      <c r="B15" s="172">
        <f>'IV. Metodología de asignación'!J77</f>
        <v>22090.588940390477</v>
      </c>
      <c r="C15" s="172">
        <f>'IV. Metodología de asignación'!K77</f>
        <v>14652.308595522167</v>
      </c>
      <c r="D15" s="172">
        <f>'IV. Metodología de asignación'!L77</f>
        <v>10167.787841943373</v>
      </c>
      <c r="E15" s="172">
        <f>'IV. Metodología de asignación'!M77</f>
        <v>8230.137723546397</v>
      </c>
      <c r="F15" s="172">
        <f>'IV. Metodología de asignación'!N77</f>
        <v>215.77055656692792</v>
      </c>
      <c r="G15" s="173">
        <f>'IV. Metodología de asignación'!O77</f>
        <v>818.91196915581304</v>
      </c>
      <c r="I15" s="183">
        <f>'IV. Metodología de asignación'!J97</f>
        <v>8844.0001838687385</v>
      </c>
      <c r="J15" s="172">
        <f>'IV. Metodología de asignación'!K97</f>
        <v>6042.1664936864327</v>
      </c>
      <c r="K15" s="172">
        <f>'IV. Metodología de asignación'!L97</f>
        <v>3618.1773641679897</v>
      </c>
      <c r="L15" s="172">
        <f>'IV. Metodología de asignación'!M97</f>
        <v>3028.3535164645318</v>
      </c>
      <c r="M15" s="172">
        <f>'IV. Metodología de asignación'!N97</f>
        <v>81.361890067712494</v>
      </c>
      <c r="N15" s="173">
        <f>'IV. Metodología de asignación'!O97</f>
        <v>451.83573103645506</v>
      </c>
    </row>
    <row r="16" spans="1:14" ht="15" customHeight="1" x14ac:dyDescent="0.35">
      <c r="A16" s="171" t="s">
        <v>13</v>
      </c>
      <c r="B16" s="172">
        <f>'IV. Metodología de asignación'!J76</f>
        <v>9894.9061841373623</v>
      </c>
      <c r="C16" s="172">
        <f>'IV. Metodología de asignación'!K76</f>
        <v>6415.0279334635297</v>
      </c>
      <c r="D16" s="172">
        <f>'IV. Metodología de asignación'!L76</f>
        <v>5291.9342025726601</v>
      </c>
      <c r="E16" s="172">
        <f>'IV. Metodología de asignación'!M76</f>
        <v>4217.1575252901248</v>
      </c>
      <c r="F16" s="172">
        <f>'IV. Metodología de asignación'!N76</f>
        <v>118.89460277187355</v>
      </c>
      <c r="G16" s="173">
        <f>'IV. Metodología de asignación'!O76</f>
        <v>497.37379718113897</v>
      </c>
      <c r="I16" s="183">
        <f>'IV. Metodología de asignación'!J96</f>
        <v>4272.14658409392</v>
      </c>
      <c r="J16" s="172">
        <f>'IV. Metodología de asignación'!K96</f>
        <v>2981.0015076213031</v>
      </c>
      <c r="K16" s="172">
        <f>'IV. Metodología de asignación'!L96</f>
        <v>1890.9199459265251</v>
      </c>
      <c r="L16" s="172">
        <f>'IV. Metodología de asignación'!M96</f>
        <v>1595.0713811467492</v>
      </c>
      <c r="M16" s="172">
        <f>'IV. Metodología de asignación'!N96</f>
        <v>43.666769531738808</v>
      </c>
      <c r="N16" s="173">
        <f>'IV. Metodología de asignación'!O96</f>
        <v>284.03606694511285</v>
      </c>
    </row>
    <row r="17" spans="1:27" ht="15" customHeight="1" thickBot="1" x14ac:dyDescent="0.4">
      <c r="A17" s="174" t="s">
        <v>14</v>
      </c>
      <c r="B17" s="175">
        <f>'IV. Metodología de asignación'!J75</f>
        <v>26849.715224311956</v>
      </c>
      <c r="C17" s="175">
        <f>'IV. Metodología de asignación'!K75</f>
        <v>16239.359439908001</v>
      </c>
      <c r="D17" s="175">
        <f>'IV. Metodología de asignación'!L75</f>
        <v>13537.026398778195</v>
      </c>
      <c r="E17" s="175">
        <f>'IV. Metodología de asignación'!M75</f>
        <v>12345.509903197009</v>
      </c>
      <c r="F17" s="175">
        <f>'IV. Metodología de asignación'!N75</f>
        <v>352.61796834576899</v>
      </c>
      <c r="G17" s="176">
        <f>'IV. Metodología de asignación'!O75</f>
        <v>1591.2940794159101</v>
      </c>
      <c r="I17" s="184">
        <f>'IV. Metodología de asignación'!J95</f>
        <v>11331.922567731333</v>
      </c>
      <c r="J17" s="175">
        <f>'IV. Metodología de asignación'!K95</f>
        <v>8395.8846514938923</v>
      </c>
      <c r="K17" s="175">
        <f>'IV. Metodología de asignación'!L95</f>
        <v>5192.8585733472501</v>
      </c>
      <c r="L17" s="175">
        <f>'IV. Metodología de asignación'!M95</f>
        <v>4482.491464863655</v>
      </c>
      <c r="M17" s="175">
        <f>'IV. Metodología de asignación'!N95</f>
        <v>130.47100042648276</v>
      </c>
      <c r="N17" s="176">
        <f>'IV. Metodología de asignación'!O95</f>
        <v>880.39425602063125</v>
      </c>
    </row>
    <row r="18" spans="1:27" ht="13.15" thickBot="1" x14ac:dyDescent="0.4">
      <c r="B18" s="217"/>
      <c r="C18" s="217"/>
      <c r="D18" s="217"/>
      <c r="E18" s="217"/>
      <c r="F18" s="217"/>
      <c r="G18" s="217"/>
      <c r="N18" s="217">
        <f>SUM(I13:N17)-'IV. Metodología de asignación'!D23</f>
        <v>0</v>
      </c>
    </row>
    <row r="19" spans="1:27" ht="24" customHeight="1" x14ac:dyDescent="0.35">
      <c r="A19" s="638" t="s">
        <v>52</v>
      </c>
      <c r="B19" s="162" t="s">
        <v>104</v>
      </c>
      <c r="C19" s="162"/>
      <c r="D19" s="162"/>
      <c r="E19" s="162"/>
      <c r="F19" s="162"/>
      <c r="G19" s="163"/>
      <c r="I19" s="180" t="s">
        <v>111</v>
      </c>
      <c r="J19" s="162"/>
      <c r="K19" s="162"/>
      <c r="L19" s="162"/>
      <c r="M19" s="162"/>
      <c r="N19" s="163"/>
    </row>
    <row r="20" spans="1:27" ht="24" customHeight="1" x14ac:dyDescent="0.35">
      <c r="A20" s="639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</row>
    <row r="21" spans="1:27" ht="15" customHeight="1" x14ac:dyDescent="0.35">
      <c r="A21" s="168" t="s">
        <v>10</v>
      </c>
      <c r="B21" s="169">
        <f>'I. Datos de entrada'!C122+'I. Datos de entrada'!C123</f>
        <v>146224.78481156897</v>
      </c>
      <c r="C21" s="169">
        <f>'I. Datos de entrada'!D122+'I. Datos de entrada'!D123</f>
        <v>147338.88481322335</v>
      </c>
      <c r="D21" s="169">
        <f>'I. Datos de entrada'!E122+'I. Datos de entrada'!E123</f>
        <v>147419.89689014648</v>
      </c>
      <c r="E21" s="169">
        <f>'I. Datos de entrada'!F122+'I. Datos de entrada'!F123</f>
        <v>147434.40535819368</v>
      </c>
      <c r="F21" s="169">
        <f>'I. Datos de entrada'!G122+'I. Datos de entrada'!G123</f>
        <v>147441.34401565121</v>
      </c>
      <c r="G21" s="170">
        <f>'I. Datos de entrada'!H122+'I. Datos de entrada'!H123</f>
        <v>152940.47650784758</v>
      </c>
      <c r="I21" s="182">
        <f>('I. Datos de entrada'!C108+'I. Datos de entrada'!C109)*1000</f>
        <v>11448488.573650554</v>
      </c>
      <c r="J21" s="169">
        <f>('I. Datos de entrada'!D108+'I. Datos de entrada'!D109)*1000</f>
        <v>13829412.183202418</v>
      </c>
      <c r="K21" s="169">
        <f>('I. Datos de entrada'!E108+'I. Datos de entrada'!E109)*1000</f>
        <v>12050403.533066513</v>
      </c>
      <c r="L21" s="169">
        <f>('I. Datos de entrada'!F108+'I. Datos de entrada'!F109)*1000</f>
        <v>13306496.242078582</v>
      </c>
      <c r="M21" s="169">
        <f>('I. Datos de entrada'!G108+'I. Datos de entrada'!G109)*1000</f>
        <v>5214201.2603889992</v>
      </c>
      <c r="N21" s="170">
        <f>('I. Datos de entrada'!H108+'I. Datos de entrada'!H109)*1000</f>
        <v>46944667.365508243</v>
      </c>
    </row>
    <row r="22" spans="1:27" ht="15" customHeight="1" x14ac:dyDescent="0.35">
      <c r="A22" s="171" t="s">
        <v>11</v>
      </c>
      <c r="B22" s="172">
        <f>'I. Datos de entrada'!C124</f>
        <v>17521.053235384275</v>
      </c>
      <c r="C22" s="172">
        <f>'I. Datos de entrada'!D124</f>
        <v>18220.05080608762</v>
      </c>
      <c r="D22" s="172">
        <f>'I. Datos de entrada'!E124</f>
        <v>18587.903238979099</v>
      </c>
      <c r="E22" s="172">
        <f>'I. Datos de entrada'!F124</f>
        <v>18762.030330978316</v>
      </c>
      <c r="F22" s="172">
        <f>'I. Datos de entrada'!G124</f>
        <v>18846.305430338645</v>
      </c>
      <c r="G22" s="173">
        <f>'I. Datos de entrada'!H124</f>
        <v>26780.134126865345</v>
      </c>
      <c r="I22" s="183">
        <f>'I. Datos de entrada'!C110*1000</f>
        <v>6613257.2334814873</v>
      </c>
      <c r="J22" s="172">
        <f>'I. Datos de entrada'!D110*1000</f>
        <v>8195987.2293909481</v>
      </c>
      <c r="K22" s="172">
        <f>'I. Datos de entrada'!E110*1000</f>
        <v>7969153.5737819076</v>
      </c>
      <c r="L22" s="172">
        <f>'I. Datos de entrada'!F110*1000</f>
        <v>8876098.3935512789</v>
      </c>
      <c r="M22" s="172">
        <f>'I. Datos de entrada'!G110*1000</f>
        <v>3570049.69105493</v>
      </c>
      <c r="N22" s="173">
        <f>'I. Datos de entrada'!H110*1000</f>
        <v>30217767.378696341</v>
      </c>
    </row>
    <row r="23" spans="1:27" ht="15" customHeight="1" x14ac:dyDescent="0.35">
      <c r="A23" s="171" t="s">
        <v>12</v>
      </c>
      <c r="B23" s="172">
        <f>'I. Datos de entrada'!C125</f>
        <v>4503.1829605604544</v>
      </c>
      <c r="C23" s="172">
        <f>'I. Datos de entrada'!D125</f>
        <v>4653.3711488213194</v>
      </c>
      <c r="D23" s="172">
        <f>'I. Datos de entrada'!E125</f>
        <v>4741.3359617586257</v>
      </c>
      <c r="E23" s="172">
        <f>'I. Datos de entrada'!F125</f>
        <v>4775.702370650105</v>
      </c>
      <c r="F23" s="172">
        <f>'I. Datos de entrada'!G125</f>
        <v>4814.9949373893196</v>
      </c>
      <c r="G23" s="173">
        <f>'I. Datos de entrada'!H125</f>
        <v>6218.6892621452162</v>
      </c>
      <c r="I23" s="183">
        <f>'I. Datos de entrada'!C111*1000</f>
        <v>2009695.6649737705</v>
      </c>
      <c r="J23" s="172">
        <f>'I. Datos de entrada'!D111*1000</f>
        <v>2647057.9468418448</v>
      </c>
      <c r="K23" s="172">
        <f>'I. Datos de entrada'!E111*1000</f>
        <v>2542912.3577724099</v>
      </c>
      <c r="L23" s="172">
        <f>'I. Datos de entrada'!F111*1000</f>
        <v>2901893.6324406355</v>
      </c>
      <c r="M23" s="172">
        <f>'I. Datos de entrada'!G111*1000</f>
        <v>1229435.5264529428</v>
      </c>
      <c r="N23" s="173">
        <f>'I. Datos de entrada'!H111*1000</f>
        <v>11161342.821177477</v>
      </c>
    </row>
    <row r="24" spans="1:27" ht="15" customHeight="1" x14ac:dyDescent="0.35">
      <c r="A24" s="171" t="s">
        <v>13</v>
      </c>
      <c r="B24" s="172">
        <f>'I. Datos de entrada'!C126</f>
        <v>1819.98222729286</v>
      </c>
      <c r="C24" s="172">
        <f>'I. Datos de entrada'!D126</f>
        <v>1882.8241802867981</v>
      </c>
      <c r="D24" s="172">
        <f>'I. Datos de entrada'!E126</f>
        <v>1976.0493936291605</v>
      </c>
      <c r="E24" s="172">
        <f>'I. Datos de entrada'!F126</f>
        <v>2073.1385303267894</v>
      </c>
      <c r="F24" s="172">
        <f>'I. Datos de entrada'!G126</f>
        <v>2081.4228944277438</v>
      </c>
      <c r="G24" s="173">
        <f>'I. Datos de entrada'!H126</f>
        <v>2589.8757709304728</v>
      </c>
      <c r="I24" s="183">
        <f>'I. Datos de entrada'!C112*1000</f>
        <v>809194.51358948683</v>
      </c>
      <c r="J24" s="172">
        <f>'I. Datos de entrada'!D112*1000</f>
        <v>1043033.634400384</v>
      </c>
      <c r="K24" s="172">
        <f>'I. Datos de entrada'!E112*1000</f>
        <v>1028037.6135128499</v>
      </c>
      <c r="L24" s="172">
        <f>'I. Datos de entrada'!F112*1000</f>
        <v>1205248.0689663922</v>
      </c>
      <c r="M24" s="172">
        <f>'I. Datos de entrada'!G112*1000</f>
        <v>507001.33921675984</v>
      </c>
      <c r="N24" s="173">
        <f>'I. Datos de entrada'!H112*1000</f>
        <v>5424532.045881792</v>
      </c>
    </row>
    <row r="25" spans="1:27" ht="15" customHeight="1" thickBot="1" x14ac:dyDescent="0.4">
      <c r="A25" s="174" t="s">
        <v>14</v>
      </c>
      <c r="B25" s="175">
        <f>'I. Datos de entrada'!C127</f>
        <v>3672.7301186494788</v>
      </c>
      <c r="C25" s="175">
        <f>'I. Datos de entrada'!D127</f>
        <v>3945.0100250519649</v>
      </c>
      <c r="D25" s="175">
        <f>'I. Datos de entrada'!E127</f>
        <v>4281.400287630232</v>
      </c>
      <c r="E25" s="175">
        <f>'I. Datos de entrada'!F127</f>
        <v>4290.5314533085675</v>
      </c>
      <c r="F25" s="175">
        <f>'I. Datos de entrada'!G127</f>
        <v>4363.8108291685612</v>
      </c>
      <c r="G25" s="176">
        <f>'I. Datos de entrada'!H127</f>
        <v>5630.9300950340694</v>
      </c>
      <c r="I25" s="184">
        <f>'I. Datos de entrada'!C113*1000</f>
        <v>1294097.9776885763</v>
      </c>
      <c r="J25" s="175">
        <f>'I. Datos de entrada'!D113*1000</f>
        <v>1747068.3435061295</v>
      </c>
      <c r="K25" s="175">
        <f>'I. Datos de entrada'!E113*1000</f>
        <v>1692963.9477057019</v>
      </c>
      <c r="L25" s="175">
        <f>'I. Datos de entrada'!F113*1000</f>
        <v>2031556.3070773927</v>
      </c>
      <c r="M25" s="175">
        <f>'I. Datos de entrada'!G113*1000</f>
        <v>938612.60987478367</v>
      </c>
      <c r="N25" s="176">
        <f>'I. Datos de entrada'!H113*1000</f>
        <v>9890337.5723728091</v>
      </c>
    </row>
    <row r="26" spans="1:27" ht="13.15" thickBot="1" x14ac:dyDescent="0.4">
      <c r="A26" s="166"/>
      <c r="B26" s="167"/>
      <c r="C26" s="167"/>
      <c r="D26" s="167"/>
      <c r="E26" s="167"/>
      <c r="F26" s="167"/>
      <c r="G26" s="167"/>
      <c r="I26" s="167">
        <f>SUM(I21:I25)-'I. Datos de entrada'!C115*1000</f>
        <v>0</v>
      </c>
      <c r="J26" s="167">
        <f>SUM(J21:J25)-'I. Datos de entrada'!D115*1000</f>
        <v>0</v>
      </c>
      <c r="K26" s="167">
        <f>SUM(K21:K25)-'I. Datos de entrada'!E115*1000</f>
        <v>0</v>
      </c>
      <c r="L26" s="167">
        <f>SUM(L21:L25)-'I. Datos de entrada'!F115*1000</f>
        <v>0</v>
      </c>
      <c r="M26" s="167">
        <f>SUM(M21:M25)-'I. Datos de entrada'!G115*1000</f>
        <v>0</v>
      </c>
      <c r="N26" s="167">
        <f>SUM(N21:N25)-'I. Datos de entrada'!H115*1000</f>
        <v>0</v>
      </c>
    </row>
    <row r="27" spans="1:27" ht="24" customHeight="1" x14ac:dyDescent="0.35">
      <c r="A27" s="638" t="s">
        <v>52</v>
      </c>
      <c r="B27" s="162" t="s">
        <v>105</v>
      </c>
      <c r="C27" s="162"/>
      <c r="D27" s="162"/>
      <c r="E27" s="162"/>
      <c r="F27" s="162"/>
      <c r="G27" s="163"/>
      <c r="I27" s="180" t="s">
        <v>110</v>
      </c>
      <c r="J27" s="162"/>
      <c r="K27" s="162"/>
      <c r="L27" s="162"/>
      <c r="M27" s="162"/>
      <c r="N27" s="163"/>
    </row>
    <row r="28" spans="1:27" ht="24" customHeight="1" x14ac:dyDescent="0.35">
      <c r="A28" s="639"/>
      <c r="B28" s="164" t="s">
        <v>15</v>
      </c>
      <c r="C28" s="164" t="s">
        <v>16</v>
      </c>
      <c r="D28" s="164" t="s">
        <v>17</v>
      </c>
      <c r="E28" s="164" t="s">
        <v>18</v>
      </c>
      <c r="F28" s="164" t="s">
        <v>19</v>
      </c>
      <c r="G28" s="165" t="s">
        <v>20</v>
      </c>
      <c r="I28" s="181" t="s">
        <v>15</v>
      </c>
      <c r="J28" s="164" t="s">
        <v>16</v>
      </c>
      <c r="K28" s="164" t="s">
        <v>17</v>
      </c>
      <c r="L28" s="164" t="s">
        <v>18</v>
      </c>
      <c r="M28" s="164" t="s">
        <v>19</v>
      </c>
      <c r="N28" s="165" t="s">
        <v>20</v>
      </c>
    </row>
    <row r="29" spans="1:27" ht="15" customHeight="1" x14ac:dyDescent="0.35">
      <c r="A29" s="168" t="s">
        <v>10</v>
      </c>
      <c r="B29" s="202">
        <f>B13/B21</f>
        <v>1.5477498025675325</v>
      </c>
      <c r="C29" s="202">
        <f t="shared" ref="B29:G33" si="0">C13/C21</f>
        <v>1.0093908208249129</v>
      </c>
      <c r="D29" s="202">
        <f t="shared" si="0"/>
        <v>0.44058478038081378</v>
      </c>
      <c r="E29" s="202">
        <f t="shared" si="0"/>
        <v>0.35844661464291849</v>
      </c>
      <c r="F29" s="202">
        <f t="shared" si="0"/>
        <v>9.7762943957666552E-3</v>
      </c>
      <c r="G29" s="203">
        <f t="shared" si="0"/>
        <v>7.4311633951444814E-2</v>
      </c>
      <c r="I29" s="208">
        <f t="shared" ref="I29:N33" si="1">I13/I21</f>
        <v>5.7195538652317721E-3</v>
      </c>
      <c r="J29" s="209">
        <f t="shared" si="1"/>
        <v>2.978888453247848E-3</v>
      </c>
      <c r="K29" s="209">
        <f t="shared" si="1"/>
        <v>1.7846352889090244E-3</v>
      </c>
      <c r="L29" s="209">
        <f t="shared" si="1"/>
        <v>1.3009598510271606E-3</v>
      </c>
      <c r="M29" s="209">
        <f>M13/M21</f>
        <v>8.4602708926208455E-5</v>
      </c>
      <c r="N29" s="210">
        <f t="shared" si="1"/>
        <v>5.4536769750304317E-5</v>
      </c>
      <c r="P29" s="293"/>
      <c r="Q29" s="293"/>
      <c r="R29" s="293"/>
      <c r="S29" s="293"/>
      <c r="T29" s="293"/>
      <c r="V29" s="293"/>
      <c r="W29" s="293"/>
      <c r="X29" s="293"/>
      <c r="Y29" s="293"/>
      <c r="Z29" s="293"/>
      <c r="AA29" s="293"/>
    </row>
    <row r="30" spans="1:27" ht="15" customHeight="1" x14ac:dyDescent="0.35">
      <c r="A30" s="171" t="s">
        <v>11</v>
      </c>
      <c r="B30" s="204">
        <f t="shared" si="0"/>
        <v>5.0383162497356127</v>
      </c>
      <c r="C30" s="204">
        <f t="shared" si="0"/>
        <v>3.1018683444403328</v>
      </c>
      <c r="D30" s="204">
        <f t="shared" si="0"/>
        <v>2.3850324605077082</v>
      </c>
      <c r="E30" s="204">
        <f t="shared" si="0"/>
        <v>1.8920336520891938</v>
      </c>
      <c r="F30" s="204">
        <f t="shared" si="0"/>
        <v>4.3995772885584046E-2</v>
      </c>
      <c r="G30" s="205">
        <f t="shared" si="0"/>
        <v>0.10212499426269964</v>
      </c>
      <c r="I30" s="211">
        <f t="shared" si="1"/>
        <v>5.2241654662229103E-3</v>
      </c>
      <c r="J30" s="212">
        <f t="shared" si="1"/>
        <v>2.712686263452101E-3</v>
      </c>
      <c r="K30" s="212">
        <f t="shared" si="1"/>
        <v>1.7424631833237842E-3</v>
      </c>
      <c r="L30" s="212">
        <f t="shared" si="1"/>
        <v>1.2725996906151923E-3</v>
      </c>
      <c r="M30" s="212">
        <f t="shared" si="1"/>
        <v>8.1041379142471025E-5</v>
      </c>
      <c r="N30" s="213">
        <f t="shared" si="1"/>
        <v>4.9400604098706728E-5</v>
      </c>
      <c r="P30" s="293"/>
      <c r="Q30" s="293"/>
      <c r="R30" s="293"/>
      <c r="S30" s="293"/>
      <c r="T30" s="293"/>
      <c r="V30" s="293"/>
      <c r="W30" s="293"/>
      <c r="X30" s="293"/>
      <c r="Y30" s="293"/>
      <c r="Z30" s="293"/>
      <c r="AA30" s="293"/>
    </row>
    <row r="31" spans="1:27" ht="15" customHeight="1" x14ac:dyDescent="0.35">
      <c r="A31" s="171" t="s">
        <v>12</v>
      </c>
      <c r="B31" s="204">
        <f t="shared" si="0"/>
        <v>4.9055499485282157</v>
      </c>
      <c r="C31" s="204">
        <f>C15/C23</f>
        <v>3.1487513303626207</v>
      </c>
      <c r="D31" s="204">
        <f t="shared" si="0"/>
        <v>2.1444984966161313</v>
      </c>
      <c r="E31" s="204">
        <f t="shared" si="0"/>
        <v>1.7233355608854761</v>
      </c>
      <c r="F31" s="204">
        <f t="shared" si="0"/>
        <v>4.481220839744398E-2</v>
      </c>
      <c r="G31" s="205">
        <f t="shared" si="0"/>
        <v>0.13168562290782784</v>
      </c>
      <c r="I31" s="211">
        <f t="shared" si="1"/>
        <v>4.4006663984042411E-3</v>
      </c>
      <c r="J31" s="212">
        <f t="shared" si="1"/>
        <v>2.2825969869285363E-3</v>
      </c>
      <c r="K31" s="212">
        <f t="shared" si="1"/>
        <v>1.4228478433828177E-3</v>
      </c>
      <c r="L31" s="212">
        <f t="shared" si="1"/>
        <v>1.043578400879407E-3</v>
      </c>
      <c r="M31" s="212">
        <f t="shared" si="1"/>
        <v>6.6178248730497098E-5</v>
      </c>
      <c r="N31" s="213">
        <f t="shared" si="1"/>
        <v>4.0482201673721928E-5</v>
      </c>
      <c r="P31" s="293"/>
      <c r="Q31" s="293"/>
      <c r="R31" s="293"/>
      <c r="S31" s="293"/>
      <c r="T31" s="293"/>
      <c r="V31" s="293"/>
      <c r="W31" s="293"/>
      <c r="X31" s="293"/>
      <c r="Y31" s="293"/>
      <c r="Z31" s="293"/>
      <c r="AA31" s="293"/>
    </row>
    <row r="32" spans="1:27" ht="15" customHeight="1" x14ac:dyDescent="0.35">
      <c r="A32" s="171" t="s">
        <v>13</v>
      </c>
      <c r="B32" s="204">
        <f t="shared" si="0"/>
        <v>5.4368147313479982</v>
      </c>
      <c r="C32" s="204">
        <f t="shared" si="0"/>
        <v>3.4071306288866396</v>
      </c>
      <c r="D32" s="204">
        <f t="shared" si="0"/>
        <v>2.6780374112276784</v>
      </c>
      <c r="E32" s="204">
        <f t="shared" si="0"/>
        <v>2.0341899316421337</v>
      </c>
      <c r="F32" s="204">
        <f t="shared" si="0"/>
        <v>5.7121790622256918E-2</v>
      </c>
      <c r="G32" s="205">
        <f t="shared" si="0"/>
        <v>0.1920454265659414</v>
      </c>
      <c r="I32" s="211">
        <f t="shared" si="1"/>
        <v>5.2795051280602554E-3</v>
      </c>
      <c r="J32" s="212">
        <f t="shared" si="1"/>
        <v>2.8580109109664635E-3</v>
      </c>
      <c r="K32" s="212">
        <f t="shared" si="1"/>
        <v>1.8393489898343E-3</v>
      </c>
      <c r="L32" s="212">
        <f t="shared" si="1"/>
        <v>1.3234382383326823E-3</v>
      </c>
      <c r="M32" s="212">
        <f t="shared" si="1"/>
        <v>8.6127523053878608E-5</v>
      </c>
      <c r="N32" s="213">
        <f t="shared" si="1"/>
        <v>5.2361395331925076E-5</v>
      </c>
      <c r="P32" s="293"/>
      <c r="Q32" s="293"/>
      <c r="R32" s="293"/>
      <c r="S32" s="293"/>
      <c r="T32" s="293"/>
      <c r="V32" s="293"/>
      <c r="W32" s="293"/>
      <c r="X32" s="293"/>
      <c r="Y32" s="293"/>
      <c r="Z32" s="293"/>
      <c r="AA32" s="293"/>
    </row>
    <row r="33" spans="1:27" ht="15" customHeight="1" thickBot="1" x14ac:dyDescent="0.4">
      <c r="A33" s="174" t="s">
        <v>14</v>
      </c>
      <c r="B33" s="206">
        <f t="shared" si="0"/>
        <v>7.3105603616159591</v>
      </c>
      <c r="C33" s="206">
        <f t="shared" si="0"/>
        <v>4.11643046197179</v>
      </c>
      <c r="D33" s="206">
        <f t="shared" si="0"/>
        <v>3.1618221818429828</v>
      </c>
      <c r="E33" s="206">
        <f t="shared" si="0"/>
        <v>2.8773847803113033</v>
      </c>
      <c r="F33" s="206">
        <f t="shared" si="0"/>
        <v>8.0805053690412479E-2</v>
      </c>
      <c r="G33" s="207">
        <f t="shared" si="0"/>
        <v>0.282598798521629</v>
      </c>
      <c r="I33" s="214">
        <f t="shared" si="1"/>
        <v>8.7566187128826131E-3</v>
      </c>
      <c r="J33" s="215">
        <f t="shared" si="1"/>
        <v>4.8056990344433172E-3</v>
      </c>
      <c r="K33" s="215">
        <f t="shared" si="1"/>
        <v>3.067317871939678E-3</v>
      </c>
      <c r="L33" s="215">
        <f t="shared" si="1"/>
        <v>2.2064323047546685E-3</v>
      </c>
      <c r="M33" s="215">
        <f t="shared" si="1"/>
        <v>1.3900409929916492E-4</v>
      </c>
      <c r="N33" s="216">
        <f t="shared" si="1"/>
        <v>8.9015592195748914E-5</v>
      </c>
      <c r="P33" s="293"/>
      <c r="Q33" s="293"/>
      <c r="R33" s="293"/>
      <c r="S33" s="293"/>
      <c r="T33" s="293"/>
      <c r="V33" s="293"/>
      <c r="W33" s="293"/>
      <c r="X33" s="293"/>
      <c r="Y33" s="293"/>
      <c r="Z33" s="293"/>
      <c r="AA33" s="293"/>
    </row>
    <row r="34" spans="1:27" x14ac:dyDescent="0.35">
      <c r="B34" s="290"/>
      <c r="C34" s="290"/>
      <c r="D34" s="290"/>
      <c r="E34" s="290"/>
      <c r="F34" s="290"/>
      <c r="G34" s="290"/>
    </row>
    <row r="35" spans="1:27" s="5" customFormat="1" ht="16.5" customHeight="1" x14ac:dyDescent="0.35">
      <c r="A35" s="5" t="s">
        <v>112</v>
      </c>
    </row>
    <row r="36" spans="1:27" ht="5.25" customHeight="1" thickBot="1" x14ac:dyDescent="0.4">
      <c r="A36" s="191"/>
      <c r="B36" s="192"/>
      <c r="C36" s="40"/>
    </row>
    <row r="37" spans="1:27" ht="18" customHeight="1" x14ac:dyDescent="0.35">
      <c r="A37" s="638" t="s">
        <v>52</v>
      </c>
      <c r="B37" s="162" t="s">
        <v>94</v>
      </c>
      <c r="C37" s="162"/>
      <c r="D37" s="162"/>
      <c r="E37" s="162"/>
      <c r="F37" s="162"/>
      <c r="G37" s="163"/>
      <c r="I37" s="180" t="s">
        <v>95</v>
      </c>
      <c r="J37" s="162"/>
      <c r="K37" s="162"/>
      <c r="L37" s="162"/>
      <c r="M37" s="162"/>
      <c r="N37" s="163"/>
    </row>
    <row r="38" spans="1:27" ht="18" customHeight="1" x14ac:dyDescent="0.35">
      <c r="A38" s="639"/>
      <c r="B38" s="164" t="s">
        <v>15</v>
      </c>
      <c r="C38" s="164" t="s">
        <v>16</v>
      </c>
      <c r="D38" s="164" t="s">
        <v>17</v>
      </c>
      <c r="E38" s="164" t="s">
        <v>18</v>
      </c>
      <c r="F38" s="164" t="s">
        <v>19</v>
      </c>
      <c r="G38" s="165" t="s">
        <v>20</v>
      </c>
      <c r="I38" s="181" t="s">
        <v>15</v>
      </c>
      <c r="J38" s="164" t="s">
        <v>16</v>
      </c>
      <c r="K38" s="164" t="s">
        <v>17</v>
      </c>
      <c r="L38" s="164" t="s">
        <v>18</v>
      </c>
      <c r="M38" s="164" t="s">
        <v>19</v>
      </c>
      <c r="N38" s="165" t="s">
        <v>20</v>
      </c>
    </row>
    <row r="39" spans="1:27" ht="15" customHeight="1" x14ac:dyDescent="0.35">
      <c r="A39" s="168" t="s">
        <v>10</v>
      </c>
      <c r="B39" s="193">
        <f t="shared" ref="B39:G43" si="2">B29/$G29</f>
        <v>20.827826280590621</v>
      </c>
      <c r="C39" s="193">
        <f t="shared" si="2"/>
        <v>13.583213921583912</v>
      </c>
      <c r="D39" s="193">
        <f t="shared" si="2"/>
        <v>5.9288802701968804</v>
      </c>
      <c r="E39" s="193">
        <f t="shared" si="2"/>
        <v>4.82355985978087</v>
      </c>
      <c r="F39" s="193">
        <f t="shared" si="2"/>
        <v>0.1315580599688399</v>
      </c>
      <c r="G39" s="196">
        <f t="shared" si="2"/>
        <v>1</v>
      </c>
      <c r="I39" s="195">
        <f t="shared" ref="I39:N43" si="3">I29/$N29</f>
        <v>104.87518588685494</v>
      </c>
      <c r="J39" s="193">
        <f t="shared" si="3"/>
        <v>54.621651903598959</v>
      </c>
      <c r="K39" s="193">
        <f t="shared" si="3"/>
        <v>32.723523910197599</v>
      </c>
      <c r="L39" s="193">
        <f t="shared" si="3"/>
        <v>23.854728781766568</v>
      </c>
      <c r="M39" s="193">
        <f>M29/$N29</f>
        <v>1.5512966630323088</v>
      </c>
      <c r="N39" s="196">
        <f t="shared" si="3"/>
        <v>1</v>
      </c>
    </row>
    <row r="40" spans="1:27" ht="15" customHeight="1" x14ac:dyDescent="0.35">
      <c r="A40" s="171" t="s">
        <v>11</v>
      </c>
      <c r="B40" s="194">
        <f t="shared" si="2"/>
        <v>49.334800810616237</v>
      </c>
      <c r="C40" s="194">
        <f t="shared" si="2"/>
        <v>30.373253549089952</v>
      </c>
      <c r="D40" s="194">
        <f t="shared" si="2"/>
        <v>23.35405233289519</v>
      </c>
      <c r="E40" s="194">
        <f t="shared" si="2"/>
        <v>18.526646348907011</v>
      </c>
      <c r="F40" s="194">
        <f t="shared" si="2"/>
        <v>0.43080318587252209</v>
      </c>
      <c r="G40" s="198">
        <f t="shared" si="2"/>
        <v>1</v>
      </c>
      <c r="I40" s="197">
        <f t="shared" si="3"/>
        <v>105.75104417315568</v>
      </c>
      <c r="J40" s="194">
        <f t="shared" si="3"/>
        <v>54.912005894339195</v>
      </c>
      <c r="K40" s="194">
        <f t="shared" si="3"/>
        <v>35.272102742755742</v>
      </c>
      <c r="L40" s="194">
        <f t="shared" si="3"/>
        <v>25.760812318659642</v>
      </c>
      <c r="M40" s="194">
        <f t="shared" si="3"/>
        <v>1.6404936866873785</v>
      </c>
      <c r="N40" s="198">
        <f t="shared" si="3"/>
        <v>1</v>
      </c>
    </row>
    <row r="41" spans="1:27" ht="15" customHeight="1" x14ac:dyDescent="0.35">
      <c r="A41" s="171" t="s">
        <v>12</v>
      </c>
      <c r="B41" s="194">
        <f t="shared" si="2"/>
        <v>37.251978159846736</v>
      </c>
      <c r="C41" s="194">
        <f t="shared" si="2"/>
        <v>23.911124546728693</v>
      </c>
      <c r="D41" s="194">
        <f t="shared" si="2"/>
        <v>16.284985781000206</v>
      </c>
      <c r="E41" s="194">
        <f t="shared" si="2"/>
        <v>13.086740396039355</v>
      </c>
      <c r="F41" s="194">
        <f t="shared" si="2"/>
        <v>0.34029689352504244</v>
      </c>
      <c r="G41" s="198">
        <f t="shared" si="2"/>
        <v>1</v>
      </c>
      <c r="I41" s="197">
        <f t="shared" si="3"/>
        <v>108.70620214465337</v>
      </c>
      <c r="J41" s="194">
        <f t="shared" si="3"/>
        <v>56.385198743037499</v>
      </c>
      <c r="K41" s="194">
        <f t="shared" si="3"/>
        <v>35.147491602622637</v>
      </c>
      <c r="L41" s="194">
        <f t="shared" si="3"/>
        <v>25.778696753956972</v>
      </c>
      <c r="M41" s="194">
        <f t="shared" si="3"/>
        <v>1.6347492476787684</v>
      </c>
      <c r="N41" s="198">
        <f t="shared" si="3"/>
        <v>1</v>
      </c>
    </row>
    <row r="42" spans="1:27" ht="15" customHeight="1" x14ac:dyDescent="0.35">
      <c r="A42" s="171" t="s">
        <v>13</v>
      </c>
      <c r="B42" s="194">
        <f t="shared" si="2"/>
        <v>28.310045329203373</v>
      </c>
      <c r="C42" s="194">
        <f t="shared" si="2"/>
        <v>17.741274498493485</v>
      </c>
      <c r="D42" s="194">
        <f t="shared" si="2"/>
        <v>13.944812220290693</v>
      </c>
      <c r="E42" s="194">
        <f t="shared" si="2"/>
        <v>10.592233139921543</v>
      </c>
      <c r="F42" s="194">
        <f t="shared" si="2"/>
        <v>0.29743895308354756</v>
      </c>
      <c r="G42" s="198">
        <f t="shared" si="2"/>
        <v>1</v>
      </c>
      <c r="I42" s="197">
        <f t="shared" si="3"/>
        <v>100.82819784676951</v>
      </c>
      <c r="J42" s="194">
        <f t="shared" si="3"/>
        <v>54.582405469701378</v>
      </c>
      <c r="K42" s="194">
        <f t="shared" si="3"/>
        <v>35.127959791263187</v>
      </c>
      <c r="L42" s="194">
        <f t="shared" si="3"/>
        <v>25.27507584439358</v>
      </c>
      <c r="M42" s="194">
        <f t="shared" si="3"/>
        <v>1.6448668433663018</v>
      </c>
      <c r="N42" s="198">
        <f t="shared" si="3"/>
        <v>1</v>
      </c>
    </row>
    <row r="43" spans="1:27" ht="15" customHeight="1" thickBot="1" x14ac:dyDescent="0.4">
      <c r="A43" s="174" t="s">
        <v>14</v>
      </c>
      <c r="B43" s="200">
        <f t="shared" si="2"/>
        <v>25.869042613981382</v>
      </c>
      <c r="C43" s="200">
        <f t="shared" si="2"/>
        <v>14.566340987669609</v>
      </c>
      <c r="D43" s="200">
        <f t="shared" si="2"/>
        <v>11.188378005793219</v>
      </c>
      <c r="E43" s="200">
        <f t="shared" si="2"/>
        <v>10.18187195191164</v>
      </c>
      <c r="F43" s="200">
        <f t="shared" si="2"/>
        <v>0.28593558823721599</v>
      </c>
      <c r="G43" s="201">
        <f t="shared" si="2"/>
        <v>1</v>
      </c>
      <c r="I43" s="199">
        <f t="shared" si="3"/>
        <v>98.371740241040598</v>
      </c>
      <c r="J43" s="200">
        <f t="shared" si="3"/>
        <v>53.987160180605095</v>
      </c>
      <c r="K43" s="200">
        <f t="shared" si="3"/>
        <v>34.458208907878983</v>
      </c>
      <c r="L43" s="200">
        <f t="shared" si="3"/>
        <v>24.787031691061877</v>
      </c>
      <c r="M43" s="200">
        <f t="shared" si="3"/>
        <v>1.5615702358468755</v>
      </c>
      <c r="N43" s="201">
        <f t="shared" si="3"/>
        <v>1</v>
      </c>
    </row>
    <row r="65" spans="1:14" s="5" customFormat="1" ht="16.5" customHeight="1" x14ac:dyDescent="0.35">
      <c r="A65" s="5" t="s">
        <v>113</v>
      </c>
    </row>
    <row r="66" spans="1:14" ht="13.15" thickBot="1" x14ac:dyDescent="0.4">
      <c r="A66" s="191"/>
      <c r="B66" s="192"/>
      <c r="C66" s="40"/>
    </row>
    <row r="67" spans="1:14" ht="18" customHeight="1" x14ac:dyDescent="0.35">
      <c r="A67" s="638" t="s">
        <v>52</v>
      </c>
      <c r="B67" s="162" t="s">
        <v>94</v>
      </c>
      <c r="C67" s="162"/>
      <c r="D67" s="162"/>
      <c r="E67" s="162"/>
      <c r="F67" s="162"/>
      <c r="G67" s="163"/>
      <c r="I67" s="180" t="s">
        <v>95</v>
      </c>
      <c r="J67" s="162"/>
      <c r="K67" s="162"/>
      <c r="L67" s="162"/>
      <c r="M67" s="162"/>
      <c r="N67" s="163"/>
    </row>
    <row r="68" spans="1:14" ht="18" customHeight="1" x14ac:dyDescent="0.35">
      <c r="A68" s="639"/>
      <c r="B68" s="164" t="s">
        <v>15</v>
      </c>
      <c r="C68" s="164" t="s">
        <v>16</v>
      </c>
      <c r="D68" s="164" t="s">
        <v>17</v>
      </c>
      <c r="E68" s="164" t="s">
        <v>18</v>
      </c>
      <c r="F68" s="164" t="s">
        <v>19</v>
      </c>
      <c r="G68" s="165" t="s">
        <v>20</v>
      </c>
      <c r="I68" s="181" t="s">
        <v>15</v>
      </c>
      <c r="J68" s="164" t="s">
        <v>16</v>
      </c>
      <c r="K68" s="164" t="s">
        <v>17</v>
      </c>
      <c r="L68" s="164" t="s">
        <v>18</v>
      </c>
      <c r="M68" s="164" t="s">
        <v>19</v>
      </c>
      <c r="N68" s="165" t="s">
        <v>20</v>
      </c>
    </row>
    <row r="69" spans="1:14" ht="18" customHeight="1" x14ac:dyDescent="0.35">
      <c r="A69" s="168" t="s">
        <v>10</v>
      </c>
      <c r="B69" s="547">
        <f t="shared" ref="B69:G73" si="4">B29/B$33</f>
        <v>0.21171424979868586</v>
      </c>
      <c r="C69" s="547">
        <f t="shared" si="4"/>
        <v>0.24521022039600054</v>
      </c>
      <c r="D69" s="547">
        <f t="shared" si="4"/>
        <v>0.13934521141350301</v>
      </c>
      <c r="E69" s="547">
        <f t="shared" si="4"/>
        <v>0.12457375082248759</v>
      </c>
      <c r="F69" s="547">
        <f t="shared" si="4"/>
        <v>0.12098617536005192</v>
      </c>
      <c r="G69" s="548">
        <f t="shared" si="4"/>
        <v>0.26295806755086854</v>
      </c>
      <c r="I69" s="195">
        <f t="shared" ref="I69:N73" si="5">I29/I$33</f>
        <v>0.65316922579000103</v>
      </c>
      <c r="J69" s="193">
        <f t="shared" si="5"/>
        <v>0.61986579515230011</v>
      </c>
      <c r="K69" s="193">
        <f t="shared" si="5"/>
        <v>0.58182274006719614</v>
      </c>
      <c r="L69" s="193">
        <f t="shared" si="5"/>
        <v>0.58962146639337454</v>
      </c>
      <c r="M69" s="193">
        <f t="shared" si="5"/>
        <v>0.60863463273932894</v>
      </c>
      <c r="N69" s="196">
        <f t="shared" si="5"/>
        <v>0.61266535901233732</v>
      </c>
    </row>
    <row r="70" spans="1:14" ht="18" customHeight="1" x14ac:dyDescent="0.35">
      <c r="A70" s="171" t="s">
        <v>11</v>
      </c>
      <c r="B70" s="549">
        <f t="shared" si="4"/>
        <v>0.68918331844837144</v>
      </c>
      <c r="C70" s="549">
        <f t="shared" si="4"/>
        <v>0.75353352208809643</v>
      </c>
      <c r="D70" s="549">
        <f t="shared" si="4"/>
        <v>0.75432213557231276</v>
      </c>
      <c r="E70" s="549">
        <f t="shared" si="4"/>
        <v>0.65755322855516574</v>
      </c>
      <c r="F70" s="549">
        <f t="shared" si="4"/>
        <v>0.54446808555000248</v>
      </c>
      <c r="G70" s="550">
        <f t="shared" si="4"/>
        <v>0.36137801999495545</v>
      </c>
      <c r="I70" s="197">
        <f t="shared" si="5"/>
        <v>0.5965962019720229</v>
      </c>
      <c r="J70" s="194">
        <f t="shared" si="5"/>
        <v>0.56447277368178617</v>
      </c>
      <c r="K70" s="194">
        <f t="shared" si="5"/>
        <v>0.56807388606968989</v>
      </c>
      <c r="L70" s="194">
        <f t="shared" si="5"/>
        <v>0.57676806484062593</v>
      </c>
      <c r="M70" s="194">
        <f t="shared" si="5"/>
        <v>0.58301431073664667</v>
      </c>
      <c r="N70" s="198">
        <f t="shared" si="5"/>
        <v>0.55496574117119601</v>
      </c>
    </row>
    <row r="71" spans="1:14" ht="18" customHeight="1" x14ac:dyDescent="0.35">
      <c r="A71" s="171" t="s">
        <v>12</v>
      </c>
      <c r="B71" s="549">
        <f t="shared" si="4"/>
        <v>0.67102242589839867</v>
      </c>
      <c r="C71" s="549">
        <f t="shared" si="4"/>
        <v>0.76492275515188801</v>
      </c>
      <c r="D71" s="549">
        <f t="shared" si="4"/>
        <v>0.67824766014075233</v>
      </c>
      <c r="E71" s="549">
        <f t="shared" si="4"/>
        <v>0.59892426368468832</v>
      </c>
      <c r="F71" s="549">
        <f t="shared" si="4"/>
        <v>0.55457185350228844</v>
      </c>
      <c r="G71" s="550">
        <f t="shared" si="4"/>
        <v>0.46598083076333086</v>
      </c>
      <c r="I71" s="197">
        <f t="shared" si="5"/>
        <v>0.50255315923828492</v>
      </c>
      <c r="J71" s="194">
        <f t="shared" si="5"/>
        <v>0.47497709918343811</v>
      </c>
      <c r="K71" s="194">
        <f t="shared" si="5"/>
        <v>0.46387361948993316</v>
      </c>
      <c r="L71" s="194">
        <f t="shared" si="5"/>
        <v>0.47297095797164812</v>
      </c>
      <c r="M71" s="194">
        <f t="shared" si="5"/>
        <v>0.4760884683556571</v>
      </c>
      <c r="N71" s="198">
        <f t="shared" si="5"/>
        <v>0.45477652482162806</v>
      </c>
    </row>
    <row r="72" spans="1:14" ht="18" customHeight="1" x14ac:dyDescent="0.35">
      <c r="A72" s="171" t="s">
        <v>13</v>
      </c>
      <c r="B72" s="549">
        <f t="shared" si="4"/>
        <v>0.74369329605620271</v>
      </c>
      <c r="C72" s="549">
        <f t="shared" si="4"/>
        <v>0.82769055869210717</v>
      </c>
      <c r="D72" s="549">
        <f t="shared" si="4"/>
        <v>0.84699178423332055</v>
      </c>
      <c r="E72" s="549">
        <f t="shared" si="4"/>
        <v>0.70695791037792843</v>
      </c>
      <c r="F72" s="549">
        <f t="shared" si="4"/>
        <v>0.70690864015890653</v>
      </c>
      <c r="G72" s="550">
        <f t="shared" si="4"/>
        <v>0.67956915447127419</v>
      </c>
      <c r="I72" s="197">
        <f t="shared" si="5"/>
        <v>0.60291595433898737</v>
      </c>
      <c r="J72" s="194">
        <f t="shared" si="5"/>
        <v>0.59471283792068141</v>
      </c>
      <c r="K72" s="194">
        <f t="shared" si="5"/>
        <v>0.59966037646797654</v>
      </c>
      <c r="L72" s="194">
        <f t="shared" si="5"/>
        <v>0.5998091287372781</v>
      </c>
      <c r="M72" s="194">
        <f t="shared" si="5"/>
        <v>0.61960419504258479</v>
      </c>
      <c r="N72" s="198">
        <f t="shared" si="5"/>
        <v>0.58822723121113696</v>
      </c>
    </row>
    <row r="73" spans="1:14" ht="18" customHeight="1" thickBot="1" x14ac:dyDescent="0.4">
      <c r="A73" s="174" t="s">
        <v>14</v>
      </c>
      <c r="B73" s="551">
        <f t="shared" si="4"/>
        <v>1</v>
      </c>
      <c r="C73" s="551">
        <f t="shared" si="4"/>
        <v>1</v>
      </c>
      <c r="D73" s="551">
        <f t="shared" si="4"/>
        <v>1</v>
      </c>
      <c r="E73" s="551">
        <f t="shared" si="4"/>
        <v>1</v>
      </c>
      <c r="F73" s="551">
        <f t="shared" si="4"/>
        <v>1</v>
      </c>
      <c r="G73" s="552">
        <f t="shared" si="4"/>
        <v>1</v>
      </c>
      <c r="I73" s="199">
        <f t="shared" si="5"/>
        <v>1</v>
      </c>
      <c r="J73" s="200">
        <f t="shared" si="5"/>
        <v>1</v>
      </c>
      <c r="K73" s="200">
        <f t="shared" si="5"/>
        <v>1</v>
      </c>
      <c r="L73" s="200">
        <f t="shared" si="5"/>
        <v>1</v>
      </c>
      <c r="M73" s="200">
        <f t="shared" si="5"/>
        <v>1</v>
      </c>
      <c r="N73" s="201">
        <f t="shared" si="5"/>
        <v>1</v>
      </c>
    </row>
    <row r="75" spans="1:14" s="5" customFormat="1" ht="16.5" customHeight="1" x14ac:dyDescent="0.35">
      <c r="A75" s="5" t="s">
        <v>120</v>
      </c>
    </row>
    <row r="76" spans="1:14" ht="13.15" thickBot="1" x14ac:dyDescent="0.4"/>
    <row r="77" spans="1:14" ht="18" customHeight="1" x14ac:dyDescent="0.35">
      <c r="A77" s="638" t="s">
        <v>96</v>
      </c>
      <c r="B77" s="162" t="s">
        <v>121</v>
      </c>
      <c r="C77" s="162"/>
      <c r="D77" s="162"/>
      <c r="E77" s="162"/>
      <c r="F77" s="162"/>
      <c r="G77" s="163"/>
      <c r="I77" s="180" t="s">
        <v>122</v>
      </c>
      <c r="J77" s="162"/>
      <c r="K77" s="162"/>
      <c r="L77" s="162"/>
      <c r="M77" s="162"/>
      <c r="N77" s="163"/>
    </row>
    <row r="78" spans="1:14" ht="18" customHeight="1" thickBot="1" x14ac:dyDescent="0.4">
      <c r="A78" s="639"/>
      <c r="B78" s="164" t="s">
        <v>15</v>
      </c>
      <c r="C78" s="164" t="s">
        <v>16</v>
      </c>
      <c r="D78" s="164" t="s">
        <v>17</v>
      </c>
      <c r="E78" s="164" t="s">
        <v>18</v>
      </c>
      <c r="F78" s="164" t="s">
        <v>19</v>
      </c>
      <c r="G78" s="165" t="s">
        <v>20</v>
      </c>
      <c r="I78" s="569" t="s">
        <v>15</v>
      </c>
      <c r="J78" s="570" t="s">
        <v>16</v>
      </c>
      <c r="K78" s="570" t="s">
        <v>17</v>
      </c>
      <c r="L78" s="570" t="s">
        <v>18</v>
      </c>
      <c r="M78" s="570" t="s">
        <v>19</v>
      </c>
      <c r="N78" s="571" t="s">
        <v>20</v>
      </c>
    </row>
    <row r="79" spans="1:14" ht="18" customHeight="1" x14ac:dyDescent="0.35">
      <c r="A79" s="222" t="s">
        <v>97</v>
      </c>
      <c r="B79" s="474">
        <f>SUM(B80:F80)</f>
        <v>3.398806711386265</v>
      </c>
      <c r="C79" s="223">
        <f>G80</f>
        <v>4.2634692970087262E-2</v>
      </c>
      <c r="D79" s="223"/>
      <c r="E79" s="223"/>
      <c r="F79" s="223"/>
      <c r="G79" s="224"/>
      <c r="I79" s="572">
        <f>I29</f>
        <v>5.7195538652317721E-3</v>
      </c>
      <c r="J79" s="573">
        <f t="shared" ref="J79:N79" si="6">J29</f>
        <v>2.978888453247848E-3</v>
      </c>
      <c r="K79" s="573">
        <f t="shared" si="6"/>
        <v>1.7846352889090244E-3</v>
      </c>
      <c r="L79" s="573">
        <f t="shared" si="6"/>
        <v>1.3009598510271606E-3</v>
      </c>
      <c r="M79" s="573">
        <f t="shared" si="6"/>
        <v>8.4602708926208455E-5</v>
      </c>
      <c r="N79" s="574">
        <f t="shared" si="6"/>
        <v>5.4536769750304317E-5</v>
      </c>
    </row>
    <row r="80" spans="1:14" ht="18" customHeight="1" x14ac:dyDescent="0.35">
      <c r="A80" s="225" t="s">
        <v>98</v>
      </c>
      <c r="B80" s="504">
        <f t="shared" ref="B80:E84" si="7">B29</f>
        <v>1.5477498025675325</v>
      </c>
      <c r="C80" s="504">
        <f t="shared" si="7"/>
        <v>1.0093908208249129</v>
      </c>
      <c r="D80" s="226">
        <f t="shared" si="7"/>
        <v>0.44058478038081378</v>
      </c>
      <c r="E80" s="226">
        <f t="shared" si="7"/>
        <v>0.35844661464291849</v>
      </c>
      <c r="F80" s="504">
        <f>SUM(F13:G13)/SUM(F21:G21)</f>
        <v>4.2634692970087262E-2</v>
      </c>
      <c r="G80" s="227">
        <f>F80</f>
        <v>4.2634692970087262E-2</v>
      </c>
      <c r="I80" s="234">
        <f t="shared" ref="I80:N84" si="8">I29</f>
        <v>5.7195538652317721E-3</v>
      </c>
      <c r="J80" s="232">
        <f t="shared" si="8"/>
        <v>2.978888453247848E-3</v>
      </c>
      <c r="K80" s="232">
        <f t="shared" si="8"/>
        <v>1.7846352889090244E-3</v>
      </c>
      <c r="L80" s="232">
        <f t="shared" si="8"/>
        <v>1.3009598510271606E-3</v>
      </c>
      <c r="M80" s="232">
        <f t="shared" si="8"/>
        <v>8.4602708926208455E-5</v>
      </c>
      <c r="N80" s="235">
        <f t="shared" si="8"/>
        <v>5.4536769750304317E-5</v>
      </c>
    </row>
    <row r="81" spans="1:16" ht="18" customHeight="1" x14ac:dyDescent="0.35">
      <c r="A81" s="225" t="s">
        <v>99</v>
      </c>
      <c r="B81" s="504">
        <f t="shared" si="7"/>
        <v>5.0383162497356127</v>
      </c>
      <c r="C81" s="504">
        <f t="shared" si="7"/>
        <v>3.1018683444403328</v>
      </c>
      <c r="D81" s="226">
        <f t="shared" si="7"/>
        <v>2.3850324605077082</v>
      </c>
      <c r="E81" s="226">
        <f t="shared" si="7"/>
        <v>1.8920336520891938</v>
      </c>
      <c r="F81" s="504">
        <f>SUM(F14:G14)/SUM(F22:G22)</f>
        <v>7.8114331341535573E-2</v>
      </c>
      <c r="G81" s="227">
        <f t="shared" ref="G81:G84" si="9">F81</f>
        <v>7.8114331341535573E-2</v>
      </c>
      <c r="I81" s="234">
        <f t="shared" si="8"/>
        <v>5.2241654662229103E-3</v>
      </c>
      <c r="J81" s="232">
        <f t="shared" si="8"/>
        <v>2.712686263452101E-3</v>
      </c>
      <c r="K81" s="232">
        <f t="shared" si="8"/>
        <v>1.7424631833237842E-3</v>
      </c>
      <c r="L81" s="232">
        <f t="shared" si="8"/>
        <v>1.2725996906151923E-3</v>
      </c>
      <c r="M81" s="232">
        <f t="shared" ref="M81:N81" si="10">M30</f>
        <v>8.1041379142471025E-5</v>
      </c>
      <c r="N81" s="235">
        <f t="shared" si="10"/>
        <v>4.9400604098706728E-5</v>
      </c>
    </row>
    <row r="82" spans="1:16" ht="18" customHeight="1" x14ac:dyDescent="0.35">
      <c r="A82" s="225" t="s">
        <v>100</v>
      </c>
      <c r="B82" s="504">
        <f t="shared" si="7"/>
        <v>4.9055499485282157</v>
      </c>
      <c r="C82" s="504">
        <f t="shared" si="7"/>
        <v>3.1487513303626207</v>
      </c>
      <c r="D82" s="226">
        <f t="shared" si="7"/>
        <v>2.1444984966161313</v>
      </c>
      <c r="E82" s="226">
        <f>E31</f>
        <v>1.7233355608854761</v>
      </c>
      <c r="F82" s="504">
        <f>SUM(F15:G15)/SUM(F23:G23)</f>
        <v>9.3774890327782814E-2</v>
      </c>
      <c r="G82" s="227">
        <f t="shared" si="9"/>
        <v>9.3774890327782814E-2</v>
      </c>
      <c r="I82" s="234">
        <f t="shared" si="8"/>
        <v>4.4006663984042411E-3</v>
      </c>
      <c r="J82" s="232">
        <f t="shared" si="8"/>
        <v>2.2825969869285363E-3</v>
      </c>
      <c r="K82" s="232">
        <f t="shared" si="8"/>
        <v>1.4228478433828177E-3</v>
      </c>
      <c r="L82" s="232">
        <f t="shared" si="8"/>
        <v>1.043578400879407E-3</v>
      </c>
      <c r="M82" s="232">
        <f t="shared" ref="M82:N82" si="11">M31</f>
        <v>6.6178248730497098E-5</v>
      </c>
      <c r="N82" s="235">
        <f t="shared" si="11"/>
        <v>4.0482201673721928E-5</v>
      </c>
    </row>
    <row r="83" spans="1:16" ht="18" customHeight="1" x14ac:dyDescent="0.35">
      <c r="A83" s="225" t="s">
        <v>101</v>
      </c>
      <c r="B83" s="504">
        <f t="shared" si="7"/>
        <v>5.4368147313479982</v>
      </c>
      <c r="C83" s="504">
        <f t="shared" si="7"/>
        <v>3.4071306288866396</v>
      </c>
      <c r="D83" s="226">
        <f t="shared" si="7"/>
        <v>2.6780374112276784</v>
      </c>
      <c r="E83" s="226">
        <f t="shared" si="7"/>
        <v>2.0341899316421337</v>
      </c>
      <c r="F83" s="504">
        <f>SUM(F16:G16)/SUM(F24:G24)</f>
        <v>0.13192656777079662</v>
      </c>
      <c r="G83" s="227">
        <f t="shared" si="9"/>
        <v>0.13192656777079662</v>
      </c>
      <c r="I83" s="234">
        <f t="shared" si="8"/>
        <v>5.2795051280602554E-3</v>
      </c>
      <c r="J83" s="232">
        <f t="shared" si="8"/>
        <v>2.8580109109664635E-3</v>
      </c>
      <c r="K83" s="232">
        <f t="shared" si="8"/>
        <v>1.8393489898343E-3</v>
      </c>
      <c r="L83" s="232">
        <f t="shared" si="8"/>
        <v>1.3234382383326823E-3</v>
      </c>
      <c r="M83" s="232">
        <f t="shared" ref="M83:N83" si="12">M32</f>
        <v>8.6127523053878608E-5</v>
      </c>
      <c r="N83" s="235">
        <f t="shared" si="12"/>
        <v>5.2361395331925076E-5</v>
      </c>
      <c r="P83" s="306"/>
    </row>
    <row r="84" spans="1:16" ht="18" customHeight="1" thickBot="1" x14ac:dyDescent="0.4">
      <c r="A84" s="228" t="s">
        <v>102</v>
      </c>
      <c r="B84" s="472">
        <f t="shared" si="7"/>
        <v>7.3105603616159591</v>
      </c>
      <c r="C84" s="472">
        <f t="shared" si="7"/>
        <v>4.11643046197179</v>
      </c>
      <c r="D84" s="229">
        <f>D33</f>
        <v>3.1618221818429828</v>
      </c>
      <c r="E84" s="229">
        <f>E33</f>
        <v>2.8773847803113033</v>
      </c>
      <c r="F84" s="472">
        <f>SUM(F17:G17)/SUM(F25:G25)</f>
        <v>0.19449349037696667</v>
      </c>
      <c r="G84" s="230">
        <f t="shared" si="9"/>
        <v>0.19449349037696667</v>
      </c>
      <c r="I84" s="236">
        <f t="shared" si="8"/>
        <v>8.7566187128826131E-3</v>
      </c>
      <c r="J84" s="237">
        <f t="shared" si="8"/>
        <v>4.8056990344433172E-3</v>
      </c>
      <c r="K84" s="237">
        <f t="shared" si="8"/>
        <v>3.067317871939678E-3</v>
      </c>
      <c r="L84" s="237">
        <f t="shared" si="8"/>
        <v>2.2064323047546685E-3</v>
      </c>
      <c r="M84" s="237">
        <f t="shared" ref="M84:N84" si="13">M33</f>
        <v>1.3900409929916492E-4</v>
      </c>
      <c r="N84" s="505">
        <f t="shared" si="13"/>
        <v>8.9015592195748914E-5</v>
      </c>
      <c r="P84" s="306"/>
    </row>
    <row r="85" spans="1:16" x14ac:dyDescent="0.35">
      <c r="P85" s="306"/>
    </row>
    <row r="86" spans="1:16" s="5" customFormat="1" ht="16.5" customHeight="1" x14ac:dyDescent="0.35">
      <c r="A86" s="5" t="s">
        <v>198</v>
      </c>
    </row>
    <row r="87" spans="1:16" ht="5.25" customHeight="1" thickBot="1" x14ac:dyDescent="0.4"/>
    <row r="88" spans="1:16" ht="22.5" customHeight="1" x14ac:dyDescent="0.35">
      <c r="A88" s="638" t="s">
        <v>96</v>
      </c>
      <c r="B88" s="162" t="s">
        <v>124</v>
      </c>
      <c r="C88" s="162"/>
      <c r="D88" s="162"/>
      <c r="E88" s="640" t="s">
        <v>123</v>
      </c>
    </row>
    <row r="89" spans="1:16" ht="30" customHeight="1" x14ac:dyDescent="0.35">
      <c r="A89" s="639"/>
      <c r="B89" s="239" t="s">
        <v>94</v>
      </c>
      <c r="C89" s="239" t="s">
        <v>95</v>
      </c>
      <c r="D89" s="239" t="s">
        <v>4</v>
      </c>
      <c r="E89" s="641"/>
    </row>
    <row r="90" spans="1:16" ht="18" customHeight="1" x14ac:dyDescent="0.35">
      <c r="A90" s="222" t="s">
        <v>97</v>
      </c>
      <c r="B90" s="240">
        <f>'I. Datos de entrada'!C122*B79+'I. Datos de entrada'!H122*C79</f>
        <v>436049.69786771399</v>
      </c>
      <c r="C90" s="242">
        <f>SUMPRODUCT(I79:N79,'I. Datos de entrada'!C108:H108)*1000</f>
        <v>97178.343236579472</v>
      </c>
      <c r="D90" s="241">
        <f>SUM(B90:C90)</f>
        <v>533228.04110429343</v>
      </c>
      <c r="E90" s="244">
        <f>B90/D90</f>
        <v>0.81775462701600032</v>
      </c>
    </row>
    <row r="91" spans="1:16" ht="18" customHeight="1" x14ac:dyDescent="0.35">
      <c r="A91" s="225" t="s">
        <v>98</v>
      </c>
      <c r="B91" s="242">
        <f>SUMPRODUCT(B80:G80,'I. Datos de entrada'!C123:H123)</f>
        <v>69597.21490537755</v>
      </c>
      <c r="C91" s="242">
        <f>SUMPRODUCT(I80:N80,'I. Datos de entrada'!C109:H109)*1000</f>
        <v>51316.31892977735</v>
      </c>
      <c r="D91" s="243">
        <f t="shared" ref="D91:D95" si="14">SUM(B91:C91)</f>
        <v>120913.5338351549</v>
      </c>
      <c r="E91" s="245">
        <f t="shared" ref="E91:E95" si="15">B91/D91</f>
        <v>0.57559491231363358</v>
      </c>
      <c r="F91" s="286"/>
      <c r="G91" s="238"/>
    </row>
    <row r="92" spans="1:16" ht="18" customHeight="1" x14ac:dyDescent="0.35">
      <c r="A92" s="225" t="s">
        <v>99</v>
      </c>
      <c r="B92" s="242">
        <f>SUMPRODUCT(B81:G81,'I. Datos de entrada'!C124:H124)</f>
        <v>228188.03024079368</v>
      </c>
      <c r="C92" s="242">
        <f>SUMPRODUCT(I81:N81,'I. Datos de entrada'!C110:H110)*1000</f>
        <v>83745.666518664046</v>
      </c>
      <c r="D92" s="243">
        <f t="shared" si="14"/>
        <v>311933.6967594577</v>
      </c>
      <c r="E92" s="245">
        <f t="shared" si="15"/>
        <v>0.73152734895697069</v>
      </c>
      <c r="F92" s="238"/>
      <c r="G92" s="238"/>
      <c r="I92" s="238"/>
    </row>
    <row r="93" spans="1:16" ht="18" customHeight="1" x14ac:dyDescent="0.35">
      <c r="A93" s="225" t="s">
        <v>100</v>
      </c>
      <c r="B93" s="242">
        <f>SUMPRODUCT(B82:G82,'I. Datos de entrada'!C125:H125)</f>
        <v>56175.505627125152</v>
      </c>
      <c r="C93" s="242">
        <f>SUMPRODUCT(I82:N82,'I. Datos de entrada'!C111:H111)*1000</f>
        <v>22065.89517929186</v>
      </c>
      <c r="D93" s="243">
        <f t="shared" si="14"/>
        <v>78241.400806417019</v>
      </c>
      <c r="E93" s="245">
        <f t="shared" si="15"/>
        <v>0.71797673671657836</v>
      </c>
      <c r="F93" s="238"/>
      <c r="G93" s="238"/>
      <c r="I93" s="238"/>
    </row>
    <row r="94" spans="1:16" ht="18" customHeight="1" x14ac:dyDescent="0.35">
      <c r="A94" s="225" t="s">
        <v>101</v>
      </c>
      <c r="B94" s="242">
        <f>SUMPRODUCT(B83:G83,'I. Datos de entrada'!C126:H126)</f>
        <v>26435.294245416691</v>
      </c>
      <c r="C94" s="242">
        <f>SUMPRODUCT(I83:N83,'I. Datos de entrada'!C112:H112)*1000</f>
        <v>11066.84225526535</v>
      </c>
      <c r="D94" s="243">
        <f t="shared" si="14"/>
        <v>37502.136500682042</v>
      </c>
      <c r="E94" s="245">
        <f t="shared" si="15"/>
        <v>0.704901019304218</v>
      </c>
      <c r="F94" s="238"/>
      <c r="G94" s="238"/>
      <c r="I94" s="238"/>
    </row>
    <row r="95" spans="1:16" ht="18" customHeight="1" thickBot="1" x14ac:dyDescent="0.4">
      <c r="A95" s="228" t="s">
        <v>102</v>
      </c>
      <c r="B95" s="246">
        <f>SUMPRODUCT(B84:G84,'I. Datos de entrada'!C127:H127)</f>
        <v>70915.523013956845</v>
      </c>
      <c r="C95" s="246">
        <f>SUMPRODUCT(I84:N84,'I. Datos de entrada'!C113:H113)*1000</f>
        <v>30414.02251388325</v>
      </c>
      <c r="D95" s="247">
        <f t="shared" si="14"/>
        <v>101329.54552784009</v>
      </c>
      <c r="E95" s="248">
        <f t="shared" si="15"/>
        <v>0.6998504004389613</v>
      </c>
      <c r="F95" s="238"/>
      <c r="G95" s="238"/>
    </row>
    <row r="96" spans="1:16" ht="7.5" customHeight="1" thickBot="1" x14ac:dyDescent="0.4"/>
    <row r="97" spans="1:5" ht="15.75" customHeight="1" thickBot="1" x14ac:dyDescent="0.4">
      <c r="A97" s="386" t="s">
        <v>1</v>
      </c>
      <c r="B97" s="380">
        <f>SUM(B90:B95)</f>
        <v>887361.26590038382</v>
      </c>
      <c r="C97" s="380">
        <f>SUM(C90:C95)</f>
        <v>295787.08863346133</v>
      </c>
      <c r="D97" s="381">
        <f>SUM(B97:C97)</f>
        <v>1183148.3545338451</v>
      </c>
      <c r="E97" s="387">
        <f>B97/D97</f>
        <v>0.75</v>
      </c>
    </row>
    <row r="98" spans="1:5" x14ac:dyDescent="0.35">
      <c r="C98" s="217"/>
      <c r="D98" s="74">
        <f>D97-'I. Datos de entrada'!C14</f>
        <v>0</v>
      </c>
    </row>
    <row r="100" spans="1:5" x14ac:dyDescent="0.35">
      <c r="B100" s="287"/>
      <c r="C100" s="286"/>
    </row>
    <row r="101" spans="1:5" x14ac:dyDescent="0.35">
      <c r="B101" s="287"/>
      <c r="C101" s="238"/>
    </row>
    <row r="103" spans="1:5" x14ac:dyDescent="0.35">
      <c r="B103" s="287"/>
    </row>
    <row r="104" spans="1:5" x14ac:dyDescent="0.35">
      <c r="B104" s="287"/>
    </row>
    <row r="105" spans="1:5" x14ac:dyDescent="0.35">
      <c r="B105" s="287"/>
    </row>
    <row r="106" spans="1:5" x14ac:dyDescent="0.35">
      <c r="B106" s="288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topLeftCell="A85" zoomScaleNormal="100" workbookViewId="0">
      <selection activeCell="R83" sqref="R83"/>
    </sheetView>
  </sheetViews>
  <sheetFormatPr baseColWidth="10" defaultRowHeight="12.75" x14ac:dyDescent="0.35"/>
  <cols>
    <col min="2" max="2" width="14.1328125" customWidth="1"/>
    <col min="3" max="3" width="18.59765625" customWidth="1"/>
    <col min="4" max="4" width="14.265625" customWidth="1"/>
    <col min="5" max="5" width="13.265625" customWidth="1"/>
    <col min="6" max="6" width="13.73046875" bestFit="1" customWidth="1"/>
    <col min="7" max="7" width="12.73046875" customWidth="1"/>
    <col min="8" max="8" width="2.265625" customWidth="1"/>
    <col min="9" max="12" width="12.86328125" bestFit="1" customWidth="1"/>
    <col min="13" max="13" width="11.86328125" bestFit="1" customWidth="1"/>
    <col min="14" max="14" width="12.86328125" bestFit="1" customWidth="1"/>
    <col min="15" max="15" width="4.398437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69" customFormat="1" ht="30" customHeight="1" x14ac:dyDescent="0.35">
      <c r="A6" s="369" t="s">
        <v>191</v>
      </c>
    </row>
    <row r="7" spans="1:14" s="5" customFormat="1" ht="16.5" customHeight="1" x14ac:dyDescent="0.35">
      <c r="A7" s="5" t="s">
        <v>199</v>
      </c>
    </row>
    <row r="8" spans="1:14" ht="5.25" customHeight="1" thickBot="1" x14ac:dyDescent="0.4"/>
    <row r="9" spans="1:14" ht="25.5" customHeight="1" thickBot="1" x14ac:dyDescent="0.4">
      <c r="B9" s="177" t="s">
        <v>94</v>
      </c>
      <c r="C9" s="178"/>
      <c r="D9" s="178"/>
      <c r="E9" s="178"/>
      <c r="F9" s="178"/>
      <c r="G9" s="179"/>
      <c r="I9" s="177" t="s">
        <v>95</v>
      </c>
      <c r="J9" s="178"/>
      <c r="K9" s="178"/>
      <c r="L9" s="178"/>
      <c r="M9" s="178"/>
      <c r="N9" s="179"/>
    </row>
    <row r="10" spans="1:14" ht="13.15" thickBot="1" x14ac:dyDescent="0.4"/>
    <row r="11" spans="1:14" ht="25.15" customHeight="1" x14ac:dyDescent="0.35">
      <c r="A11" s="638" t="s">
        <v>52</v>
      </c>
      <c r="B11" s="162" t="s">
        <v>103</v>
      </c>
      <c r="C11" s="162"/>
      <c r="D11" s="162"/>
      <c r="E11" s="162"/>
      <c r="F11" s="162"/>
      <c r="G11" s="163"/>
      <c r="I11" s="180" t="s">
        <v>125</v>
      </c>
      <c r="J11" s="162"/>
      <c r="K11" s="162"/>
      <c r="L11" s="162"/>
      <c r="M11" s="162"/>
      <c r="N11" s="163"/>
    </row>
    <row r="12" spans="1:14" ht="25.15" customHeight="1" x14ac:dyDescent="0.35">
      <c r="A12" s="639"/>
      <c r="B12" s="164" t="s">
        <v>15</v>
      </c>
      <c r="C12" s="164" t="s">
        <v>16</v>
      </c>
      <c r="D12" s="164" t="s">
        <v>17</v>
      </c>
      <c r="E12" s="164" t="s">
        <v>18</v>
      </c>
      <c r="F12" s="164" t="s">
        <v>19</v>
      </c>
      <c r="G12" s="165" t="s">
        <v>20</v>
      </c>
      <c r="I12" s="181" t="s">
        <v>15</v>
      </c>
      <c r="J12" s="164" t="s">
        <v>16</v>
      </c>
      <c r="K12" s="164" t="s">
        <v>17</v>
      </c>
      <c r="L12" s="164" t="s">
        <v>18</v>
      </c>
      <c r="M12" s="164" t="s">
        <v>19</v>
      </c>
      <c r="N12" s="165" t="s">
        <v>20</v>
      </c>
    </row>
    <row r="13" spans="1:14" ht="15" customHeight="1" x14ac:dyDescent="0.35">
      <c r="A13" s="168" t="s">
        <v>10</v>
      </c>
      <c r="B13" s="169">
        <f>'IV. Metodología de asignación'!J65+'IV. Metodología de asignación'!J67+'IV. Metodología de asignación'!J70+'IV. Metodología de asignación'!J74</f>
        <v>1528060.6785518441</v>
      </c>
      <c r="C13" s="169">
        <f>'IV. Metodología de asignación'!K65+'IV. Metodología de asignación'!K67+'IV. Metodología de asignación'!K70+'IV. Metodología de asignación'!K74</f>
        <v>983990.02798592544</v>
      </c>
      <c r="D13" s="169">
        <f>'IV. Metodología de asignación'!L65+'IV. Metodología de asignación'!L67+'IV. Metodología de asignación'!L70+'IV. Metodología de asignación'!L74</f>
        <v>422630.98278319463</v>
      </c>
      <c r="E13" s="169">
        <f>'IV. Metodología de asignación'!M65+'IV. Metodología de asignación'!M67+'IV. Metodología de asignación'!M70+'IV. Metodología de asignación'!M74</f>
        <v>358757.93783207471</v>
      </c>
      <c r="F13" s="169">
        <f>'IV. Metodología de asignación'!N65+'IV. Metodología de asignación'!N67+'IV. Metodología de asignación'!N70+'IV. Metodología de asignación'!N74</f>
        <v>10619.398717309306</v>
      </c>
      <c r="G13" s="170">
        <f>'IV. Metodología de asignación'!O65+'IV. Metodología de asignación'!O67+'IV. Metodología de asignación'!O70+'IV. Metodología de asignación'!O74</f>
        <v>257261.15999659893</v>
      </c>
      <c r="I13" s="182">
        <f>'IV. Metodología de asignación'!J85+'IV. Metodología de asignación'!J87+'IV. Metodología de asignación'!J90+'IV. Metodología de asignación'!J94</f>
        <v>208983.92851375625</v>
      </c>
      <c r="J13" s="169">
        <f>'IV. Metodología de asignación'!K85+'IV. Metodología de asignación'!K87+'IV. Metodología de asignación'!K90+'IV. Metodología de asignación'!K94</f>
        <v>136095.66284298518</v>
      </c>
      <c r="K13" s="169">
        <f>'IV. Metodología de asignación'!L85+'IV. Metodología de asignación'!L87+'IV. Metodología de asignación'!L90+'IV. Metodología de asignación'!L94</f>
        <v>69744.508021670772</v>
      </c>
      <c r="L13" s="169">
        <f>'IV. Metodología de asignación'!M85+'IV. Metodología de asignación'!M87+'IV. Metodología de asignación'!M90+'IV. Metodología de asignación'!M94</f>
        <v>55803.099439070051</v>
      </c>
      <c r="M13" s="169">
        <f>'IV. Metodología de asignación'!N85+'IV. Metodología de asignación'!N87+'IV. Metodología de asignación'!N90+'IV. Metodología de asignación'!N94</f>
        <v>1767.8709841380062</v>
      </c>
      <c r="N13" s="170">
        <f>'IV. Metodología de asignación'!O85+'IV. Metodología de asignación'!O87+'IV. Metodología de asignación'!O90+'IV. Metodología de asignación'!O94</f>
        <v>8426.3315073310405</v>
      </c>
    </row>
    <row r="14" spans="1:14" ht="15" customHeight="1" x14ac:dyDescent="0.35">
      <c r="A14" s="171" t="s">
        <v>11</v>
      </c>
      <c r="B14" s="172">
        <f>'IV. Metodología de asignación'!J66+'IV. Metodología de asignación'!J69+'IV. Metodología de asignación'!J73</f>
        <v>271918.58109472378</v>
      </c>
      <c r="C14" s="172">
        <f>'IV. Metodología de asignación'!K66+'IV. Metodología de asignación'!K69+'IV. Metodología de asignación'!K73</f>
        <v>176024.2026457382</v>
      </c>
      <c r="D14" s="172">
        <f>'IV. Metodología de asignación'!L66+'IV. Metodología de asignación'!L69+'IV. Metodología de asignación'!L73</f>
        <v>140175.44610186474</v>
      </c>
      <c r="E14" s="172">
        <f>'IV. Metodología de asignación'!M66+'IV. Metodología de asignación'!M69+'IV. Metodología de asignación'!M73</f>
        <v>111753.14455853302</v>
      </c>
      <c r="F14" s="172">
        <f>'IV. Metodología de asignación'!N66+'IV. Metodología de asignación'!N69+'IV. Metodología de asignación'!N73</f>
        <v>3246.4761992372305</v>
      </c>
      <c r="G14" s="173">
        <f>'IV. Metodología de asignación'!O66+'IV. Metodología de asignación'!O69+'IV. Metodología de asignación'!O73</f>
        <v>8024.5017529977522</v>
      </c>
      <c r="I14" s="183">
        <f>'IV. Metodología de asignación'!J86+'IV. Metodología de asignación'!J89+'IV. Metodología de asignación'!J93</f>
        <v>110273.36213630297</v>
      </c>
      <c r="J14" s="172">
        <f>'IV. Metodología de asignación'!K86+'IV. Metodología de asignación'!K89+'IV. Metodología de asignación'!K93</f>
        <v>73454.883679149876</v>
      </c>
      <c r="K14" s="172">
        <f>'IV. Metodología de asignación'!L86+'IV. Metodología de asignación'!L89+'IV. Metodología de asignación'!L93</f>
        <v>45037.802267024403</v>
      </c>
      <c r="L14" s="172">
        <f>'IV. Metodología de asignación'!M86+'IV. Metodología de asignación'!M89+'IV. Metodología de asignación'!M93</f>
        <v>36415.394700906174</v>
      </c>
      <c r="M14" s="172">
        <f>'IV. Metodología de asignación'!N86+'IV. Metodología de asignación'!N89+'IV. Metodología de asignación'!N93</f>
        <v>1159.5365553090878</v>
      </c>
      <c r="N14" s="173">
        <f>'IV. Metodología de asignación'!O86+'IV. Metodología de asignación'!O89+'IV. Metodología de asignación'!O93</f>
        <v>4913.6454255592189</v>
      </c>
    </row>
    <row r="15" spans="1:14" ht="15" customHeight="1" x14ac:dyDescent="0.35">
      <c r="A15" s="171" t="s">
        <v>12</v>
      </c>
      <c r="B15" s="172">
        <f>'IV. Metodología de asignación'!J68+'IV. Metodología de asignación'!J72</f>
        <v>37074.087306805617</v>
      </c>
      <c r="C15" s="172">
        <f>'IV. Metodología de asignación'!K68+'IV. Metodología de asignación'!K72</f>
        <v>26070.306295745122</v>
      </c>
      <c r="D15" s="172">
        <f>'IV. Metodología de asignación'!L68+'IV. Metodología de asignación'!L72</f>
        <v>16457.994516318224</v>
      </c>
      <c r="E15" s="172">
        <f>'IV. Metodología de asignación'!M68+'IV. Metodología de asignación'!M72</f>
        <v>14077.731519748537</v>
      </c>
      <c r="F15" s="172">
        <f>'IV. Metodología de asignación'!N68+'IV. Metodología de asignación'!N72</f>
        <v>593.28882982372784</v>
      </c>
      <c r="G15" s="173">
        <f>'IV. Metodología de asignación'!O68+'IV. Metodología de asignación'!O72</f>
        <v>1003.2829673467131</v>
      </c>
      <c r="I15" s="183">
        <f>'IV. Metodología de asignación'!J88+'IV. Metodología de asignación'!J92</f>
        <v>15013.802239030812</v>
      </c>
      <c r="J15" s="172">
        <f>'IV. Metodología de asignación'!K88+'IV. Metodología de asignación'!K92</f>
        <v>11241.060730278045</v>
      </c>
      <c r="K15" s="172">
        <f>'IV. Metodología de asignación'!L88+'IV. Metodología de asignación'!L92</f>
        <v>5753.7945015021369</v>
      </c>
      <c r="L15" s="172">
        <f>'IV. Metodología de asignación'!M88+'IV. Metodología de asignación'!M92</f>
        <v>5020.863782583343</v>
      </c>
      <c r="M15" s="172">
        <f>'IV. Metodología de asignación'!N88+'IV. Metodología de asignación'!N92</f>
        <v>225.10019413472619</v>
      </c>
      <c r="N15" s="173">
        <f>'IV. Metodología de asignación'!O88+'IV. Metodología de asignación'!O92</f>
        <v>562.66269205299659</v>
      </c>
    </row>
    <row r="16" spans="1:14" ht="15" customHeight="1" x14ac:dyDescent="0.35">
      <c r="A16" s="171" t="s">
        <v>13</v>
      </c>
      <c r="B16" s="172">
        <f>'IV. Metodología de asignación'!J71</f>
        <v>9168.1201498996707</v>
      </c>
      <c r="C16" s="172">
        <f>'IV. Metodología de asignación'!K71</f>
        <v>5842.9478589474365</v>
      </c>
      <c r="D16" s="172">
        <f>'IV. Metodología de asignación'!L71</f>
        <v>5065.972109565394</v>
      </c>
      <c r="E16" s="172">
        <f>'IV. Metodología de asignación'!M71</f>
        <v>4363.2216589454747</v>
      </c>
      <c r="F16" s="172">
        <f>'IV. Metodología de asignación'!N71</f>
        <v>205.0407807115883</v>
      </c>
      <c r="G16" s="173">
        <f>'IV. Metodología de asignación'!O71</f>
        <v>773.77434975385256</v>
      </c>
      <c r="I16" s="183">
        <f>'IV. Metodología de asignación'!J91</f>
        <v>4142.3586920779771</v>
      </c>
      <c r="J16" s="172">
        <f>'IV. Metodología de asignación'!K91</f>
        <v>2912.7178287558877</v>
      </c>
      <c r="K16" s="172">
        <f>'IV. Metodología de asignación'!L91</f>
        <v>1813.1982250074138</v>
      </c>
      <c r="L16" s="172">
        <f>'IV. Metodología de asignación'!M91</f>
        <v>1610.3831196806254</v>
      </c>
      <c r="M16" s="172">
        <f>'IV. Metodología de asignación'!N91</f>
        <v>76.915507262294128</v>
      </c>
      <c r="N16" s="173">
        <f>'IV. Metodología de asignación'!O91</f>
        <v>479.24466237977771</v>
      </c>
    </row>
    <row r="17" spans="1:28" ht="15" customHeight="1" thickBot="1" x14ac:dyDescent="0.4">
      <c r="A17" s="251" t="s">
        <v>14</v>
      </c>
      <c r="B17" s="249"/>
      <c r="C17" s="249"/>
      <c r="D17" s="249"/>
      <c r="E17" s="249"/>
      <c r="F17" s="249"/>
      <c r="G17" s="250"/>
      <c r="I17" s="252"/>
      <c r="J17" s="249"/>
      <c r="K17" s="249"/>
      <c r="L17" s="249"/>
      <c r="M17" s="249"/>
      <c r="N17" s="250"/>
    </row>
    <row r="18" spans="1:28" ht="13.15" thickBot="1" x14ac:dyDescent="0.4">
      <c r="G18" s="217"/>
      <c r="N18" s="217">
        <f>SUM(I13:N16)-SUM('IV. Metodología de asignación'!E23:H23)</f>
        <v>0</v>
      </c>
    </row>
    <row r="19" spans="1:28" ht="24" customHeight="1" x14ac:dyDescent="0.35">
      <c r="A19" s="638" t="s">
        <v>52</v>
      </c>
      <c r="B19" s="162" t="s">
        <v>104</v>
      </c>
      <c r="C19" s="162"/>
      <c r="D19" s="162"/>
      <c r="E19" s="162"/>
      <c r="F19" s="162"/>
      <c r="G19" s="163"/>
      <c r="I19" s="180" t="s">
        <v>111</v>
      </c>
      <c r="J19" s="162"/>
      <c r="K19" s="162"/>
      <c r="L19" s="162"/>
      <c r="M19" s="162"/>
      <c r="N19" s="163"/>
    </row>
    <row r="20" spans="1:28" ht="24" customHeight="1" x14ac:dyDescent="0.35">
      <c r="A20" s="639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</row>
    <row r="21" spans="1:28" ht="15" customHeight="1" x14ac:dyDescent="0.35">
      <c r="A21" s="168" t="s">
        <v>10</v>
      </c>
      <c r="B21" s="169">
        <f>'I. Datos de entrada'!C122+'I. Datos de entrada'!C123</f>
        <v>146224.78481156897</v>
      </c>
      <c r="C21" s="169">
        <f>'I. Datos de entrada'!D122+'I. Datos de entrada'!D123</f>
        <v>147338.88481322335</v>
      </c>
      <c r="D21" s="169">
        <f>'I. Datos de entrada'!E122+'I. Datos de entrada'!E123</f>
        <v>147419.89689014648</v>
      </c>
      <c r="E21" s="169">
        <f>'I. Datos de entrada'!F122+'I. Datos de entrada'!F123</f>
        <v>147434.40535819368</v>
      </c>
      <c r="F21" s="169">
        <f>'I. Datos de entrada'!G122+'I. Datos de entrada'!G123</f>
        <v>147441.34401565121</v>
      </c>
      <c r="G21" s="170">
        <f>'I. Datos de entrada'!H122+'I. Datos de entrada'!H123</f>
        <v>152940.47650784758</v>
      </c>
      <c r="I21" s="182">
        <f>('I. Datos de entrada'!C108+'I. Datos de entrada'!C109)*1000</f>
        <v>11448488.573650554</v>
      </c>
      <c r="J21" s="169">
        <f>('I. Datos de entrada'!D108+'I. Datos de entrada'!D109)*1000</f>
        <v>13829412.183202418</v>
      </c>
      <c r="K21" s="169">
        <f>('I. Datos de entrada'!E108+'I. Datos de entrada'!E109)*1000</f>
        <v>12050403.533066513</v>
      </c>
      <c r="L21" s="169">
        <f>('I. Datos de entrada'!F108+'I. Datos de entrada'!F109)*1000</f>
        <v>13306496.242078582</v>
      </c>
      <c r="M21" s="169">
        <f>('I. Datos de entrada'!G108+'I. Datos de entrada'!G109)*1000</f>
        <v>5214201.2603889992</v>
      </c>
      <c r="N21" s="170">
        <f>('I. Datos de entrada'!H108+'I. Datos de entrada'!H109)*1000</f>
        <v>46944667.365508243</v>
      </c>
    </row>
    <row r="22" spans="1:28" ht="15" customHeight="1" x14ac:dyDescent="0.35">
      <c r="A22" s="171" t="s">
        <v>11</v>
      </c>
      <c r="B22" s="172">
        <f>'I. Datos de entrada'!C124</f>
        <v>17521.053235384275</v>
      </c>
      <c r="C22" s="172">
        <f>'I. Datos de entrada'!D124</f>
        <v>18220.05080608762</v>
      </c>
      <c r="D22" s="172">
        <f>'I. Datos de entrada'!E124</f>
        <v>18587.903238979099</v>
      </c>
      <c r="E22" s="172">
        <f>'I. Datos de entrada'!F124</f>
        <v>18762.030330978316</v>
      </c>
      <c r="F22" s="172">
        <f>'I. Datos de entrada'!G124</f>
        <v>18846.305430338645</v>
      </c>
      <c r="G22" s="173">
        <f>'I. Datos de entrada'!H124</f>
        <v>26780.134126865345</v>
      </c>
      <c r="I22" s="183">
        <f>'I. Datos de entrada'!C110*1000</f>
        <v>6613257.2334814873</v>
      </c>
      <c r="J22" s="172">
        <f>'I. Datos de entrada'!D110*1000</f>
        <v>8195987.2293909481</v>
      </c>
      <c r="K22" s="172">
        <f>'I. Datos de entrada'!E110*1000</f>
        <v>7969153.5737819076</v>
      </c>
      <c r="L22" s="172">
        <f>'I. Datos de entrada'!F110*1000</f>
        <v>8876098.3935512789</v>
      </c>
      <c r="M22" s="172">
        <f>'I. Datos de entrada'!G110*1000</f>
        <v>3570049.69105493</v>
      </c>
      <c r="N22" s="173">
        <f>'I. Datos de entrada'!H110*1000</f>
        <v>30217767.378696341</v>
      </c>
    </row>
    <row r="23" spans="1:28" ht="15" customHeight="1" x14ac:dyDescent="0.35">
      <c r="A23" s="171" t="s">
        <v>12</v>
      </c>
      <c r="B23" s="172">
        <f>'I. Datos de entrada'!C125</f>
        <v>4503.1829605604544</v>
      </c>
      <c r="C23" s="172">
        <f>'I. Datos de entrada'!D125</f>
        <v>4653.3711488213194</v>
      </c>
      <c r="D23" s="172">
        <f>'I. Datos de entrada'!E125</f>
        <v>4741.3359617586257</v>
      </c>
      <c r="E23" s="172">
        <f>'I. Datos de entrada'!F125</f>
        <v>4775.702370650105</v>
      </c>
      <c r="F23" s="172">
        <f>'I. Datos de entrada'!G125</f>
        <v>4814.9949373893196</v>
      </c>
      <c r="G23" s="173">
        <f>'I. Datos de entrada'!H125</f>
        <v>6218.6892621452162</v>
      </c>
      <c r="I23" s="183">
        <f>'I. Datos de entrada'!C111*1000</f>
        <v>2009695.6649737705</v>
      </c>
      <c r="J23" s="172">
        <f>'I. Datos de entrada'!D111*1000</f>
        <v>2647057.9468418448</v>
      </c>
      <c r="K23" s="172">
        <f>'I. Datos de entrada'!E111*1000</f>
        <v>2542912.3577724099</v>
      </c>
      <c r="L23" s="172">
        <f>'I. Datos de entrada'!F111*1000</f>
        <v>2901893.6324406355</v>
      </c>
      <c r="M23" s="172">
        <f>'I. Datos de entrada'!G111*1000</f>
        <v>1229435.5264529428</v>
      </c>
      <c r="N23" s="173">
        <f>'I. Datos de entrada'!H111*1000</f>
        <v>11161342.821177477</v>
      </c>
    </row>
    <row r="24" spans="1:28" ht="15" customHeight="1" x14ac:dyDescent="0.35">
      <c r="A24" s="171" t="s">
        <v>13</v>
      </c>
      <c r="B24" s="172">
        <f>'I. Datos de entrada'!C126</f>
        <v>1819.98222729286</v>
      </c>
      <c r="C24" s="172">
        <f>'I. Datos de entrada'!D126</f>
        <v>1882.8241802867981</v>
      </c>
      <c r="D24" s="172">
        <f>'I. Datos de entrada'!E126</f>
        <v>1976.0493936291605</v>
      </c>
      <c r="E24" s="172">
        <f>'I. Datos de entrada'!F126</f>
        <v>2073.1385303267894</v>
      </c>
      <c r="F24" s="172">
        <f>'I. Datos de entrada'!G126</f>
        <v>2081.4228944277438</v>
      </c>
      <c r="G24" s="173">
        <f>'I. Datos de entrada'!H126</f>
        <v>2589.8757709304728</v>
      </c>
      <c r="I24" s="183">
        <f>'I. Datos de entrada'!C112*1000</f>
        <v>809194.51358948683</v>
      </c>
      <c r="J24" s="172">
        <f>'I. Datos de entrada'!D112*1000</f>
        <v>1043033.634400384</v>
      </c>
      <c r="K24" s="172">
        <f>'I. Datos de entrada'!E112*1000</f>
        <v>1028037.6135128499</v>
      </c>
      <c r="L24" s="172">
        <f>'I. Datos de entrada'!F112*1000</f>
        <v>1205248.0689663922</v>
      </c>
      <c r="M24" s="172">
        <f>'I. Datos de entrada'!G112*1000</f>
        <v>507001.33921675984</v>
      </c>
      <c r="N24" s="173">
        <f>'I. Datos de entrada'!H112*1000</f>
        <v>5424532.045881792</v>
      </c>
    </row>
    <row r="25" spans="1:28" ht="15" customHeight="1" thickBot="1" x14ac:dyDescent="0.4">
      <c r="A25" s="251" t="s">
        <v>14</v>
      </c>
      <c r="B25" s="249"/>
      <c r="C25" s="249"/>
      <c r="D25" s="249"/>
      <c r="E25" s="249"/>
      <c r="F25" s="249"/>
      <c r="G25" s="250"/>
      <c r="I25" s="252"/>
      <c r="J25" s="249"/>
      <c r="K25" s="249"/>
      <c r="L25" s="249"/>
      <c r="M25" s="249"/>
      <c r="N25" s="250"/>
    </row>
    <row r="26" spans="1:28" ht="13.15" thickBot="1" x14ac:dyDescent="0.4">
      <c r="A26" s="166"/>
      <c r="B26" s="289"/>
      <c r="C26" s="289"/>
      <c r="D26" s="289"/>
      <c r="E26" s="289"/>
      <c r="F26" s="289"/>
      <c r="G26" s="289"/>
      <c r="I26" s="167"/>
      <c r="J26" s="167"/>
      <c r="K26" s="167"/>
      <c r="L26" s="167"/>
      <c r="M26" s="167"/>
      <c r="N26" s="167"/>
    </row>
    <row r="27" spans="1:28" ht="24" customHeight="1" x14ac:dyDescent="0.35">
      <c r="A27" s="638" t="s">
        <v>52</v>
      </c>
      <c r="B27" s="162" t="s">
        <v>105</v>
      </c>
      <c r="C27" s="162"/>
      <c r="D27" s="162"/>
      <c r="E27" s="162"/>
      <c r="F27" s="162"/>
      <c r="G27" s="163"/>
      <c r="I27" s="180" t="s">
        <v>110</v>
      </c>
      <c r="J27" s="162"/>
      <c r="K27" s="162"/>
      <c r="L27" s="162"/>
      <c r="M27" s="162"/>
      <c r="N27" s="163"/>
    </row>
    <row r="28" spans="1:28" ht="24" customHeight="1" x14ac:dyDescent="0.35">
      <c r="A28" s="639"/>
      <c r="B28" s="164" t="s">
        <v>15</v>
      </c>
      <c r="C28" s="164" t="s">
        <v>16</v>
      </c>
      <c r="D28" s="164" t="s">
        <v>17</v>
      </c>
      <c r="E28" s="164" t="s">
        <v>18</v>
      </c>
      <c r="F28" s="164" t="s">
        <v>19</v>
      </c>
      <c r="G28" s="165" t="s">
        <v>20</v>
      </c>
      <c r="I28" s="181" t="s">
        <v>15</v>
      </c>
      <c r="J28" s="164" t="s">
        <v>16</v>
      </c>
      <c r="K28" s="164" t="s">
        <v>17</v>
      </c>
      <c r="L28" s="164" t="s">
        <v>18</v>
      </c>
      <c r="M28" s="164" t="s">
        <v>19</v>
      </c>
      <c r="N28" s="165" t="s">
        <v>20</v>
      </c>
    </row>
    <row r="29" spans="1:28" ht="15" customHeight="1" x14ac:dyDescent="0.35">
      <c r="A29" s="168" t="s">
        <v>10</v>
      </c>
      <c r="B29" s="202">
        <f t="shared" ref="B29:G32" si="0">B13/B21</f>
        <v>10.450079858356183</v>
      </c>
      <c r="C29" s="202">
        <f t="shared" si="0"/>
        <v>6.6784137075103907</v>
      </c>
      <c r="D29" s="202">
        <f>D13/D21</f>
        <v>2.8668517052221816</v>
      </c>
      <c r="E29" s="202">
        <f t="shared" si="0"/>
        <v>2.4333393346042125</v>
      </c>
      <c r="F29" s="202">
        <f t="shared" si="0"/>
        <v>7.2024565349743663E-2</v>
      </c>
      <c r="G29" s="203">
        <f t="shared" si="0"/>
        <v>1.6820998984098139</v>
      </c>
      <c r="I29" s="208">
        <f t="shared" ref="I29:N32" si="1">I13/I21</f>
        <v>1.8254281093029734E-2</v>
      </c>
      <c r="J29" s="209">
        <f t="shared" si="1"/>
        <v>9.8410301927576282E-3</v>
      </c>
      <c r="K29" s="209">
        <f t="shared" si="1"/>
        <v>5.7877321560469448E-3</v>
      </c>
      <c r="L29" s="209">
        <f t="shared" si="1"/>
        <v>4.1936734076252332E-3</v>
      </c>
      <c r="M29" s="209">
        <f t="shared" si="1"/>
        <v>3.3904924184037272E-4</v>
      </c>
      <c r="N29" s="210">
        <f t="shared" si="1"/>
        <v>1.7949496673869581E-4</v>
      </c>
      <c r="P29" s="293"/>
      <c r="Q29" s="293"/>
      <c r="R29" s="293"/>
      <c r="S29" s="293"/>
      <c r="T29" s="293"/>
      <c r="U29" s="293"/>
      <c r="W29" s="293"/>
      <c r="X29" s="293"/>
      <c r="Y29" s="293"/>
      <c r="Z29" s="293"/>
      <c r="AA29" s="293"/>
      <c r="AB29" s="293"/>
    </row>
    <row r="30" spans="1:28" ht="15" customHeight="1" x14ac:dyDescent="0.35">
      <c r="A30" s="171" t="s">
        <v>11</v>
      </c>
      <c r="B30" s="204">
        <f t="shared" si="0"/>
        <v>15.519533982442123</v>
      </c>
      <c r="C30" s="204">
        <f t="shared" si="0"/>
        <v>9.6610160157690448</v>
      </c>
      <c r="D30" s="204">
        <f t="shared" si="0"/>
        <v>7.5412188399988453</v>
      </c>
      <c r="E30" s="204">
        <f t="shared" si="0"/>
        <v>5.9563460130439854</v>
      </c>
      <c r="F30" s="204">
        <f t="shared" si="0"/>
        <v>0.17226061687459848</v>
      </c>
      <c r="G30" s="205">
        <f t="shared" si="0"/>
        <v>0.29964382235665193</v>
      </c>
      <c r="I30" s="211">
        <f t="shared" si="1"/>
        <v>1.6674591391668971E-2</v>
      </c>
      <c r="J30" s="212">
        <f t="shared" si="1"/>
        <v>8.9622984545094739E-3</v>
      </c>
      <c r="K30" s="212">
        <f t="shared" si="1"/>
        <v>5.6515164189075715E-3</v>
      </c>
      <c r="L30" s="212">
        <f t="shared" si="1"/>
        <v>4.1026353118576208E-3</v>
      </c>
      <c r="M30" s="212">
        <f t="shared" si="1"/>
        <v>3.2479563469786079E-4</v>
      </c>
      <c r="N30" s="213">
        <f t="shared" si="1"/>
        <v>1.6260782485946862E-4</v>
      </c>
      <c r="P30" s="293"/>
      <c r="Q30" s="293"/>
      <c r="R30" s="293"/>
      <c r="S30" s="293"/>
      <c r="T30" s="293"/>
      <c r="U30" s="293"/>
      <c r="W30" s="293"/>
      <c r="X30" s="293"/>
      <c r="Y30" s="293"/>
      <c r="Z30" s="293"/>
      <c r="AA30" s="293"/>
      <c r="AB30" s="293"/>
    </row>
    <row r="31" spans="1:28" ht="15" customHeight="1" x14ac:dyDescent="0.35">
      <c r="A31" s="171" t="s">
        <v>12</v>
      </c>
      <c r="B31" s="204">
        <f t="shared" si="0"/>
        <v>8.2328627620742889</v>
      </c>
      <c r="C31" s="204">
        <f t="shared" si="0"/>
        <v>5.6024558243862899</v>
      </c>
      <c r="D31" s="204">
        <f t="shared" si="0"/>
        <v>3.4711723972021025</v>
      </c>
      <c r="E31" s="204">
        <f t="shared" si="0"/>
        <v>2.9477824259454781</v>
      </c>
      <c r="F31" s="204">
        <f t="shared" si="0"/>
        <v>0.12321691664029201</v>
      </c>
      <c r="G31" s="205">
        <f t="shared" si="0"/>
        <v>0.16133351017455694</v>
      </c>
      <c r="I31" s="211">
        <f t="shared" si="1"/>
        <v>7.4706844925332338E-3</v>
      </c>
      <c r="J31" s="212">
        <f t="shared" si="1"/>
        <v>4.2466243490020851E-3</v>
      </c>
      <c r="K31" s="212">
        <f t="shared" si="1"/>
        <v>2.2626790435445673E-3</v>
      </c>
      <c r="L31" s="212">
        <f t="shared" si="1"/>
        <v>1.7302025568595872E-3</v>
      </c>
      <c r="M31" s="212">
        <f t="shared" si="1"/>
        <v>1.8309231292849094E-4</v>
      </c>
      <c r="N31" s="213">
        <f t="shared" si="1"/>
        <v>5.0411738181305852E-5</v>
      </c>
      <c r="P31" s="293"/>
      <c r="Q31" s="293"/>
      <c r="R31" s="293"/>
      <c r="S31" s="293"/>
      <c r="T31" s="293"/>
      <c r="U31" s="293"/>
      <c r="W31" s="293"/>
      <c r="X31" s="293"/>
      <c r="Y31" s="293"/>
      <c r="Z31" s="293"/>
      <c r="AA31" s="293"/>
      <c r="AB31" s="293"/>
    </row>
    <row r="32" spans="1:28" ht="15" customHeight="1" x14ac:dyDescent="0.35">
      <c r="A32" s="171" t="s">
        <v>13</v>
      </c>
      <c r="B32" s="204">
        <f t="shared" si="0"/>
        <v>5.037477845889093</v>
      </c>
      <c r="C32" s="204">
        <f t="shared" si="0"/>
        <v>3.1032891547300072</v>
      </c>
      <c r="D32" s="204">
        <f t="shared" si="0"/>
        <v>2.5636869836848373</v>
      </c>
      <c r="E32" s="204">
        <f t="shared" si="0"/>
        <v>2.1046454904572629</v>
      </c>
      <c r="F32" s="204">
        <f t="shared" si="0"/>
        <v>9.850990938002592E-2</v>
      </c>
      <c r="G32" s="205">
        <f t="shared" si="0"/>
        <v>0.2987689056127415</v>
      </c>
      <c r="I32" s="211">
        <f t="shared" si="1"/>
        <v>5.1191136648999092E-3</v>
      </c>
      <c r="J32" s="212">
        <f t="shared" si="1"/>
        <v>2.792544490121205E-3</v>
      </c>
      <c r="K32" s="212">
        <f t="shared" si="1"/>
        <v>1.7637469691518732E-3</v>
      </c>
      <c r="L32" s="212">
        <f t="shared" si="1"/>
        <v>1.336142459918374E-3</v>
      </c>
      <c r="M32" s="212">
        <f t="shared" si="1"/>
        <v>1.517067141895856E-4</v>
      </c>
      <c r="N32" s="213">
        <f t="shared" si="1"/>
        <v>8.8347650696176031E-5</v>
      </c>
      <c r="P32" s="293"/>
      <c r="Q32" s="293"/>
      <c r="R32" s="293"/>
      <c r="S32" s="293"/>
      <c r="T32" s="293"/>
      <c r="U32" s="293"/>
      <c r="W32" s="293"/>
      <c r="X32" s="293"/>
      <c r="Y32" s="293"/>
      <c r="Z32" s="293"/>
      <c r="AA32" s="293"/>
      <c r="AB32" s="293"/>
    </row>
    <row r="33" spans="1:28" ht="15" customHeight="1" thickBot="1" x14ac:dyDescent="0.4">
      <c r="A33" s="251" t="s">
        <v>14</v>
      </c>
      <c r="B33" s="256"/>
      <c r="C33" s="256"/>
      <c r="D33" s="256"/>
      <c r="E33" s="256"/>
      <c r="F33" s="256"/>
      <c r="G33" s="257"/>
      <c r="I33" s="253"/>
      <c r="J33" s="254"/>
      <c r="K33" s="254"/>
      <c r="L33" s="254"/>
      <c r="M33" s="254"/>
      <c r="N33" s="255"/>
      <c r="P33" s="293"/>
      <c r="Q33" s="293"/>
      <c r="R33" s="293"/>
      <c r="S33" s="293"/>
      <c r="T33" s="293"/>
      <c r="U33" s="293"/>
      <c r="W33" s="293"/>
      <c r="X33" s="293"/>
      <c r="Y33" s="293"/>
      <c r="Z33" s="293"/>
      <c r="AA33" s="293"/>
      <c r="AB33" s="293"/>
    </row>
    <row r="35" spans="1:28" s="5" customFormat="1" ht="16.5" customHeight="1" x14ac:dyDescent="0.35">
      <c r="A35" s="5" t="s">
        <v>112</v>
      </c>
    </row>
    <row r="36" spans="1:28" ht="5.25" customHeight="1" thickBot="1" x14ac:dyDescent="0.4">
      <c r="A36" s="191"/>
      <c r="B36" s="192"/>
      <c r="C36" s="40"/>
    </row>
    <row r="37" spans="1:28" ht="18" customHeight="1" x14ac:dyDescent="0.35">
      <c r="A37" s="638" t="s">
        <v>52</v>
      </c>
      <c r="B37" s="162" t="s">
        <v>94</v>
      </c>
      <c r="C37" s="162"/>
      <c r="D37" s="162"/>
      <c r="E37" s="162"/>
      <c r="F37" s="162"/>
      <c r="G37" s="163"/>
      <c r="I37" s="180" t="s">
        <v>95</v>
      </c>
      <c r="J37" s="162"/>
      <c r="K37" s="162"/>
      <c r="L37" s="162"/>
      <c r="M37" s="162"/>
      <c r="N37" s="163"/>
    </row>
    <row r="38" spans="1:28" ht="18" customHeight="1" x14ac:dyDescent="0.35">
      <c r="A38" s="639"/>
      <c r="B38" s="164" t="s">
        <v>15</v>
      </c>
      <c r="C38" s="164" t="s">
        <v>16</v>
      </c>
      <c r="D38" s="164" t="s">
        <v>17</v>
      </c>
      <c r="E38" s="164" t="s">
        <v>18</v>
      </c>
      <c r="F38" s="164" t="s">
        <v>19</v>
      </c>
      <c r="G38" s="165" t="s">
        <v>20</v>
      </c>
      <c r="I38" s="181" t="s">
        <v>15</v>
      </c>
      <c r="J38" s="164" t="s">
        <v>16</v>
      </c>
      <c r="K38" s="164" t="s">
        <v>17</v>
      </c>
      <c r="L38" s="164" t="s">
        <v>18</v>
      </c>
      <c r="M38" s="164" t="s">
        <v>19</v>
      </c>
      <c r="N38" s="165" t="s">
        <v>20</v>
      </c>
    </row>
    <row r="39" spans="1:28" ht="15" customHeight="1" x14ac:dyDescent="0.35">
      <c r="A39" s="168" t="s">
        <v>10</v>
      </c>
      <c r="B39" s="193">
        <f t="shared" ref="B39:G42" si="2">B29/$G29</f>
        <v>6.2125203552031882</v>
      </c>
      <c r="C39" s="193">
        <f t="shared" si="2"/>
        <v>3.9702836400049013</v>
      </c>
      <c r="D39" s="193">
        <f t="shared" si="2"/>
        <v>1.7043290401077735</v>
      </c>
      <c r="E39" s="193">
        <f t="shared" si="2"/>
        <v>1.4466080979522016</v>
      </c>
      <c r="F39" s="193">
        <f t="shared" si="2"/>
        <v>4.2818244872276992E-2</v>
      </c>
      <c r="G39" s="196">
        <f t="shared" si="2"/>
        <v>1</v>
      </c>
      <c r="I39" s="195">
        <f t="shared" ref="I39:N42" si="3">I29/$N29</f>
        <v>101.69801095093574</v>
      </c>
      <c r="J39" s="193">
        <f t="shared" si="3"/>
        <v>54.826218091585538</v>
      </c>
      <c r="K39" s="193">
        <f t="shared" si="3"/>
        <v>32.244537332751939</v>
      </c>
      <c r="L39" s="193">
        <f t="shared" si="3"/>
        <v>23.363738180638101</v>
      </c>
      <c r="M39" s="193">
        <f t="shared" si="3"/>
        <v>1.8889066807870549</v>
      </c>
      <c r="N39" s="196">
        <f t="shared" si="3"/>
        <v>1</v>
      </c>
    </row>
    <row r="40" spans="1:28" ht="15" customHeight="1" x14ac:dyDescent="0.35">
      <c r="A40" s="171" t="s">
        <v>11</v>
      </c>
      <c r="B40" s="194">
        <f t="shared" si="2"/>
        <v>51.793271959967029</v>
      </c>
      <c r="C40" s="194">
        <f t="shared" si="2"/>
        <v>32.241665921181557</v>
      </c>
      <c r="D40" s="194">
        <f t="shared" si="2"/>
        <v>25.167276203755296</v>
      </c>
      <c r="E40" s="194">
        <f t="shared" si="2"/>
        <v>19.878087144257648</v>
      </c>
      <c r="F40" s="194">
        <f t="shared" si="2"/>
        <v>0.57488459304715711</v>
      </c>
      <c r="G40" s="198">
        <f t="shared" si="2"/>
        <v>1</v>
      </c>
      <c r="I40" s="197">
        <f t="shared" si="3"/>
        <v>102.5448277540133</v>
      </c>
      <c r="J40" s="194">
        <f t="shared" si="3"/>
        <v>55.116034312955151</v>
      </c>
      <c r="K40" s="194">
        <f t="shared" si="3"/>
        <v>34.755500996288525</v>
      </c>
      <c r="L40" s="194">
        <f t="shared" si="3"/>
        <v>25.230245318165114</v>
      </c>
      <c r="M40" s="194">
        <f t="shared" si="3"/>
        <v>1.9974170060915615</v>
      </c>
      <c r="N40" s="198">
        <f t="shared" si="3"/>
        <v>1</v>
      </c>
    </row>
    <row r="41" spans="1:28" ht="15" customHeight="1" x14ac:dyDescent="0.35">
      <c r="A41" s="171" t="s">
        <v>12</v>
      </c>
      <c r="B41" s="194">
        <f t="shared" si="2"/>
        <v>51.030085151972663</v>
      </c>
      <c r="C41" s="194">
        <f t="shared" si="2"/>
        <v>34.72592778973592</v>
      </c>
      <c r="D41" s="194">
        <f t="shared" si="2"/>
        <v>21.515507803967207</v>
      </c>
      <c r="E41" s="194">
        <f t="shared" si="2"/>
        <v>18.271358645554081</v>
      </c>
      <c r="F41" s="194">
        <f t="shared" si="2"/>
        <v>0.76374038169116776</v>
      </c>
      <c r="G41" s="198">
        <f t="shared" si="2"/>
        <v>1</v>
      </c>
      <c r="I41" s="197">
        <f t="shared" si="3"/>
        <v>148.19335262087</v>
      </c>
      <c r="J41" s="194">
        <f t="shared" si="3"/>
        <v>84.238800370840167</v>
      </c>
      <c r="K41" s="194">
        <f t="shared" si="3"/>
        <v>44.883971971108011</v>
      </c>
      <c r="L41" s="194">
        <f t="shared" si="3"/>
        <v>34.321422336934951</v>
      </c>
      <c r="M41" s="194">
        <f t="shared" si="3"/>
        <v>3.6319381067559964</v>
      </c>
      <c r="N41" s="198">
        <f t="shared" si="3"/>
        <v>1</v>
      </c>
    </row>
    <row r="42" spans="1:28" ht="15" customHeight="1" x14ac:dyDescent="0.35">
      <c r="A42" s="171" t="s">
        <v>13</v>
      </c>
      <c r="B42" s="194">
        <f t="shared" si="2"/>
        <v>16.860783539564771</v>
      </c>
      <c r="C42" s="194">
        <f t="shared" si="2"/>
        <v>10.386921451432535</v>
      </c>
      <c r="D42" s="194">
        <f t="shared" si="2"/>
        <v>8.5808360091121365</v>
      </c>
      <c r="E42" s="194">
        <f t="shared" si="2"/>
        <v>7.0443926758069795</v>
      </c>
      <c r="F42" s="194">
        <f t="shared" si="2"/>
        <v>0.3297194170122662</v>
      </c>
      <c r="G42" s="198">
        <f t="shared" si="2"/>
        <v>1</v>
      </c>
      <c r="I42" s="197">
        <f t="shared" si="3"/>
        <v>57.942838599119433</v>
      </c>
      <c r="J42" s="194">
        <f t="shared" si="3"/>
        <v>31.608587982997438</v>
      </c>
      <c r="K42" s="194">
        <f t="shared" si="3"/>
        <v>19.963711035365581</v>
      </c>
      <c r="L42" s="194">
        <f t="shared" si="3"/>
        <v>15.12368975733507</v>
      </c>
      <c r="M42" s="194">
        <f t="shared" si="3"/>
        <v>1.7171561778286422</v>
      </c>
      <c r="N42" s="198">
        <f t="shared" si="3"/>
        <v>1</v>
      </c>
    </row>
    <row r="43" spans="1:28" ht="15" customHeight="1" thickBot="1" x14ac:dyDescent="0.4">
      <c r="A43" s="174" t="s">
        <v>14</v>
      </c>
      <c r="B43" s="200"/>
      <c r="C43" s="200"/>
      <c r="D43" s="200"/>
      <c r="E43" s="200"/>
      <c r="F43" s="200"/>
      <c r="G43" s="201"/>
      <c r="I43" s="199"/>
      <c r="J43" s="200"/>
      <c r="K43" s="200"/>
      <c r="L43" s="200"/>
      <c r="M43" s="200"/>
      <c r="N43" s="201"/>
    </row>
    <row r="65" spans="1:28" s="5" customFormat="1" ht="16.5" customHeight="1" x14ac:dyDescent="0.35">
      <c r="A65" s="5" t="s">
        <v>126</v>
      </c>
    </row>
    <row r="66" spans="1:28" ht="13.15" thickBot="1" x14ac:dyDescent="0.4">
      <c r="A66" s="191"/>
      <c r="B66" s="192"/>
      <c r="C66" s="40"/>
    </row>
    <row r="67" spans="1:28" ht="18" customHeight="1" x14ac:dyDescent="0.35">
      <c r="A67" s="638" t="s">
        <v>52</v>
      </c>
      <c r="B67" s="162" t="s">
        <v>94</v>
      </c>
      <c r="C67" s="162"/>
      <c r="D67" s="162"/>
      <c r="E67" s="162"/>
      <c r="F67" s="162"/>
      <c r="G67" s="163"/>
      <c r="I67" s="180" t="s">
        <v>95</v>
      </c>
      <c r="J67" s="162"/>
      <c r="K67" s="162"/>
      <c r="L67" s="162"/>
      <c r="M67" s="162"/>
      <c r="N67" s="163"/>
    </row>
    <row r="68" spans="1:28" ht="18" customHeight="1" x14ac:dyDescent="0.35">
      <c r="A68" s="639"/>
      <c r="B68" s="164" t="s">
        <v>15</v>
      </c>
      <c r="C68" s="164" t="s">
        <v>16</v>
      </c>
      <c r="D68" s="164" t="s">
        <v>17</v>
      </c>
      <c r="E68" s="164" t="s">
        <v>18</v>
      </c>
      <c r="F68" s="164" t="s">
        <v>19</v>
      </c>
      <c r="G68" s="165" t="s">
        <v>20</v>
      </c>
      <c r="I68" s="181" t="s">
        <v>15</v>
      </c>
      <c r="J68" s="164" t="s">
        <v>16</v>
      </c>
      <c r="K68" s="164" t="s">
        <v>17</v>
      </c>
      <c r="L68" s="164" t="s">
        <v>18</v>
      </c>
      <c r="M68" s="164" t="s">
        <v>19</v>
      </c>
      <c r="N68" s="165" t="s">
        <v>20</v>
      </c>
    </row>
    <row r="69" spans="1:28" ht="18" customHeight="1" x14ac:dyDescent="0.35">
      <c r="A69" s="168" t="s">
        <v>10</v>
      </c>
      <c r="B69" s="193">
        <f t="shared" ref="B69:G72" si="4">B29/B$32</f>
        <v>2.0744666632894719</v>
      </c>
      <c r="C69" s="193">
        <f t="shared" si="4"/>
        <v>2.1520436461201848</v>
      </c>
      <c r="D69" s="193">
        <f t="shared" si="4"/>
        <v>1.1182534074817509</v>
      </c>
      <c r="E69" s="193">
        <f t="shared" si="4"/>
        <v>1.1561753965868791</v>
      </c>
      <c r="F69" s="193">
        <f t="shared" si="4"/>
        <v>0.73114030662531015</v>
      </c>
      <c r="G69" s="196">
        <f t="shared" si="4"/>
        <v>5.6301036246058329</v>
      </c>
      <c r="I69" s="195">
        <f t="shared" ref="I69:N72" si="5">I29/I$32</f>
        <v>3.5659065783581596</v>
      </c>
      <c r="J69" s="193">
        <f t="shared" si="5"/>
        <v>3.5240370305901543</v>
      </c>
      <c r="K69" s="193">
        <f t="shared" si="5"/>
        <v>3.2814980024204217</v>
      </c>
      <c r="L69" s="193">
        <f t="shared" si="5"/>
        <v>3.1386424228157739</v>
      </c>
      <c r="M69" s="193">
        <f t="shared" si="5"/>
        <v>2.2348993823481536</v>
      </c>
      <c r="N69" s="196">
        <f t="shared" si="5"/>
        <v>2.031689188385684</v>
      </c>
    </row>
    <row r="70" spans="1:28" ht="18" customHeight="1" x14ac:dyDescent="0.35">
      <c r="A70" s="171" t="s">
        <v>11</v>
      </c>
      <c r="B70" s="194">
        <f t="shared" si="4"/>
        <v>3.0808143394828158</v>
      </c>
      <c r="C70" s="194">
        <f t="shared" si="4"/>
        <v>3.113153668276063</v>
      </c>
      <c r="D70" s="194">
        <f t="shared" si="4"/>
        <v>2.9415521036658321</v>
      </c>
      <c r="E70" s="194">
        <f t="shared" si="4"/>
        <v>2.8300946834280807</v>
      </c>
      <c r="F70" s="194">
        <f t="shared" si="4"/>
        <v>1.7486628295439932</v>
      </c>
      <c r="G70" s="198">
        <f t="shared" si="4"/>
        <v>1.0029284062948789</v>
      </c>
      <c r="I70" s="197">
        <f t="shared" si="5"/>
        <v>3.2573200134236515</v>
      </c>
      <c r="J70" s="194">
        <f t="shared" si="5"/>
        <v>3.2093663990722967</v>
      </c>
      <c r="K70" s="194">
        <f t="shared" si="5"/>
        <v>3.2042671186702005</v>
      </c>
      <c r="L70" s="194">
        <f t="shared" si="5"/>
        <v>3.0705074009161075</v>
      </c>
      <c r="M70" s="194">
        <f t="shared" si="5"/>
        <v>2.1409443638201044</v>
      </c>
      <c r="N70" s="198">
        <f t="shared" si="5"/>
        <v>1.8405449785945107</v>
      </c>
    </row>
    <row r="71" spans="1:28" ht="18" customHeight="1" x14ac:dyDescent="0.35">
      <c r="A71" s="171" t="s">
        <v>12</v>
      </c>
      <c r="B71" s="194">
        <f t="shared" si="4"/>
        <v>1.634322375986792</v>
      </c>
      <c r="C71" s="194">
        <f t="shared" si="4"/>
        <v>1.8053283290882107</v>
      </c>
      <c r="D71" s="194">
        <f t="shared" si="4"/>
        <v>1.3539766825249933</v>
      </c>
      <c r="E71" s="194">
        <f t="shared" si="4"/>
        <v>1.4006075794289861</v>
      </c>
      <c r="F71" s="194">
        <f t="shared" si="4"/>
        <v>1.2508073290876027</v>
      </c>
      <c r="G71" s="198">
        <f t="shared" si="4"/>
        <v>0.53999431381147245</v>
      </c>
      <c r="I71" s="197">
        <f t="shared" si="5"/>
        <v>1.4593707000016971</v>
      </c>
      <c r="J71" s="194">
        <f t="shared" si="5"/>
        <v>1.5207006957363707</v>
      </c>
      <c r="K71" s="194">
        <f t="shared" si="5"/>
        <v>1.282881889023239</v>
      </c>
      <c r="L71" s="194">
        <f t="shared" si="5"/>
        <v>1.2949237141713816</v>
      </c>
      <c r="M71" s="194">
        <f t="shared" si="5"/>
        <v>1.2068833861873987</v>
      </c>
      <c r="N71" s="198">
        <f t="shared" si="5"/>
        <v>0.57060643700271962</v>
      </c>
    </row>
    <row r="72" spans="1:28" ht="18" customHeight="1" x14ac:dyDescent="0.35">
      <c r="A72" s="171" t="s">
        <v>13</v>
      </c>
      <c r="B72" s="194">
        <f t="shared" si="4"/>
        <v>1</v>
      </c>
      <c r="C72" s="194">
        <f t="shared" si="4"/>
        <v>1</v>
      </c>
      <c r="D72" s="194">
        <f t="shared" si="4"/>
        <v>1</v>
      </c>
      <c r="E72" s="194">
        <f t="shared" si="4"/>
        <v>1</v>
      </c>
      <c r="F72" s="194">
        <f t="shared" si="4"/>
        <v>1</v>
      </c>
      <c r="G72" s="198">
        <f t="shared" si="4"/>
        <v>1</v>
      </c>
      <c r="I72" s="197">
        <f t="shared" si="5"/>
        <v>1</v>
      </c>
      <c r="J72" s="194">
        <f t="shared" si="5"/>
        <v>1</v>
      </c>
      <c r="K72" s="194">
        <f t="shared" si="5"/>
        <v>1</v>
      </c>
      <c r="L72" s="194">
        <f t="shared" si="5"/>
        <v>1</v>
      </c>
      <c r="M72" s="194">
        <f t="shared" si="5"/>
        <v>1</v>
      </c>
      <c r="N72" s="198">
        <f t="shared" si="5"/>
        <v>1</v>
      </c>
    </row>
    <row r="73" spans="1:28" ht="18" customHeight="1" thickBot="1" x14ac:dyDescent="0.4">
      <c r="A73" s="251" t="s">
        <v>14</v>
      </c>
      <c r="B73" s="264"/>
      <c r="C73" s="264"/>
      <c r="D73" s="264"/>
      <c r="E73" s="264"/>
      <c r="F73" s="264"/>
      <c r="G73" s="265"/>
      <c r="I73" s="266"/>
      <c r="J73" s="264"/>
      <c r="K73" s="264"/>
      <c r="L73" s="264"/>
      <c r="M73" s="264"/>
      <c r="N73" s="265"/>
    </row>
    <row r="75" spans="1:28" s="5" customFormat="1" ht="16.5" customHeight="1" x14ac:dyDescent="0.35">
      <c r="A75" s="5" t="s">
        <v>120</v>
      </c>
    </row>
    <row r="76" spans="1:28" ht="13.15" thickBot="1" x14ac:dyDescent="0.4"/>
    <row r="77" spans="1:28" ht="18" customHeight="1" x14ac:dyDescent="0.35">
      <c r="A77" s="638" t="s">
        <v>96</v>
      </c>
      <c r="B77" s="162" t="s">
        <v>121</v>
      </c>
      <c r="C77" s="162"/>
      <c r="D77" s="162"/>
      <c r="E77" s="162"/>
      <c r="F77" s="162"/>
      <c r="G77" s="163"/>
      <c r="I77" s="180" t="s">
        <v>122</v>
      </c>
      <c r="J77" s="162"/>
      <c r="K77" s="162"/>
      <c r="L77" s="162"/>
      <c r="M77" s="162"/>
      <c r="N77" s="163"/>
    </row>
    <row r="78" spans="1:28" ht="18" customHeight="1" x14ac:dyDescent="0.35">
      <c r="A78" s="639"/>
      <c r="B78" s="164" t="s">
        <v>15</v>
      </c>
      <c r="C78" s="164" t="s">
        <v>16</v>
      </c>
      <c r="D78" s="164" t="s">
        <v>17</v>
      </c>
      <c r="E78" s="164" t="s">
        <v>18</v>
      </c>
      <c r="F78" s="164" t="s">
        <v>19</v>
      </c>
      <c r="G78" s="165" t="s">
        <v>20</v>
      </c>
      <c r="I78" s="181" t="s">
        <v>15</v>
      </c>
      <c r="J78" s="164" t="s">
        <v>16</v>
      </c>
      <c r="K78" s="164" t="s">
        <v>17</v>
      </c>
      <c r="L78" s="164" t="s">
        <v>18</v>
      </c>
      <c r="M78" s="164" t="s">
        <v>19</v>
      </c>
      <c r="N78" s="165" t="s">
        <v>20</v>
      </c>
    </row>
    <row r="79" spans="1:28" ht="18" customHeight="1" x14ac:dyDescent="0.35">
      <c r="A79" s="222" t="s">
        <v>97</v>
      </c>
      <c r="B79" s="223">
        <f>SUM(B80:F80)</f>
        <v>23.320484776046328</v>
      </c>
      <c r="C79" s="223">
        <f>G80</f>
        <v>0.89180017035335868</v>
      </c>
      <c r="D79" s="223"/>
      <c r="E79" s="223"/>
      <c r="F79" s="223"/>
      <c r="G79" s="224"/>
      <c r="I79" s="234">
        <f t="shared" ref="I79:M79" si="6">I29</f>
        <v>1.8254281093029734E-2</v>
      </c>
      <c r="J79" s="232">
        <f t="shared" si="6"/>
        <v>9.8410301927576282E-3</v>
      </c>
      <c r="K79" s="232">
        <f t="shared" si="6"/>
        <v>5.7877321560469448E-3</v>
      </c>
      <c r="L79" s="231">
        <f t="shared" si="6"/>
        <v>4.1936734076252332E-3</v>
      </c>
      <c r="M79" s="231">
        <f t="shared" si="6"/>
        <v>3.3904924184037272E-4</v>
      </c>
      <c r="N79" s="233">
        <f>N29</f>
        <v>1.7949496673869581E-4</v>
      </c>
      <c r="P79" s="293"/>
      <c r="Q79" s="293"/>
      <c r="R79" s="293"/>
      <c r="S79" s="293"/>
      <c r="T79" s="293"/>
      <c r="U79" s="293"/>
      <c r="W79" s="293"/>
      <c r="X79" s="293"/>
      <c r="Y79" s="293"/>
      <c r="Z79" s="293"/>
      <c r="AA79" s="293"/>
      <c r="AB79" s="293"/>
    </row>
    <row r="80" spans="1:28" ht="18" customHeight="1" x14ac:dyDescent="0.35">
      <c r="A80" s="225" t="s">
        <v>98</v>
      </c>
      <c r="B80" s="504">
        <f>B29</f>
        <v>10.450079858356183</v>
      </c>
      <c r="C80" s="504">
        <f>C29</f>
        <v>6.6784137075103907</v>
      </c>
      <c r="D80" s="504">
        <f>D29</f>
        <v>2.8668517052221816</v>
      </c>
      <c r="E80" s="504">
        <f t="shared" ref="D80:E83" si="7">E29</f>
        <v>2.4333393346042125</v>
      </c>
      <c r="F80" s="226">
        <f>SUM(F13:G13)/SUM(F21:G21)</f>
        <v>0.89180017035335868</v>
      </c>
      <c r="G80" s="227">
        <f>F80</f>
        <v>0.89180017035335868</v>
      </c>
      <c r="I80" s="234">
        <f t="shared" ref="I80:N83" si="8">I29</f>
        <v>1.8254281093029734E-2</v>
      </c>
      <c r="J80" s="232">
        <f t="shared" si="8"/>
        <v>9.8410301927576282E-3</v>
      </c>
      <c r="K80" s="232">
        <f t="shared" si="8"/>
        <v>5.7877321560469448E-3</v>
      </c>
      <c r="L80" s="232">
        <f t="shared" si="8"/>
        <v>4.1936734076252332E-3</v>
      </c>
      <c r="M80" s="231">
        <f>M29</f>
        <v>3.3904924184037272E-4</v>
      </c>
      <c r="N80" s="235">
        <f>N29</f>
        <v>1.7949496673869581E-4</v>
      </c>
      <c r="P80" s="293"/>
      <c r="Q80" s="293"/>
      <c r="R80" s="293"/>
      <c r="S80" s="293"/>
      <c r="T80" s="293"/>
      <c r="U80" s="293"/>
      <c r="W80" s="293"/>
      <c r="X80" s="293"/>
      <c r="Y80" s="293"/>
      <c r="Z80" s="293"/>
      <c r="AA80" s="293"/>
      <c r="AB80" s="293"/>
    </row>
    <row r="81" spans="1:28" ht="18" customHeight="1" x14ac:dyDescent="0.35">
      <c r="A81" s="225" t="s">
        <v>99</v>
      </c>
      <c r="B81" s="504">
        <f t="shared" ref="B81:C83" si="9">B30</f>
        <v>15.519533982442123</v>
      </c>
      <c r="C81" s="504">
        <f t="shared" si="9"/>
        <v>9.6610160157690448</v>
      </c>
      <c r="D81" s="504">
        <f t="shared" si="7"/>
        <v>7.5412188399988453</v>
      </c>
      <c r="E81" s="504">
        <f t="shared" si="7"/>
        <v>5.9563460130439854</v>
      </c>
      <c r="F81" s="226">
        <f>SUM(F14:G14)/SUM(F22:G22)</f>
        <v>0.24702733900820886</v>
      </c>
      <c r="G81" s="227">
        <f t="shared" ref="G81:G82" si="10">F81</f>
        <v>0.24702733900820886</v>
      </c>
      <c r="I81" s="234">
        <f t="shared" si="8"/>
        <v>1.6674591391668971E-2</v>
      </c>
      <c r="J81" s="232">
        <f t="shared" si="8"/>
        <v>8.9622984545094739E-3</v>
      </c>
      <c r="K81" s="232">
        <f t="shared" si="8"/>
        <v>5.6515164189075715E-3</v>
      </c>
      <c r="L81" s="232">
        <f t="shared" si="8"/>
        <v>4.1026353118576208E-3</v>
      </c>
      <c r="M81" s="231">
        <f t="shared" si="8"/>
        <v>3.2479563469786079E-4</v>
      </c>
      <c r="N81" s="235">
        <f t="shared" si="8"/>
        <v>1.6260782485946862E-4</v>
      </c>
      <c r="P81" s="293"/>
      <c r="Q81" s="293"/>
      <c r="R81" s="293"/>
      <c r="S81" s="293"/>
      <c r="T81" s="293"/>
      <c r="U81" s="293"/>
      <c r="W81" s="293"/>
      <c r="X81" s="293"/>
      <c r="Y81" s="293"/>
      <c r="Z81" s="293"/>
      <c r="AA81" s="293"/>
      <c r="AB81" s="293"/>
    </row>
    <row r="82" spans="1:28" ht="18" customHeight="1" x14ac:dyDescent="0.35">
      <c r="A82" s="225" t="s">
        <v>100</v>
      </c>
      <c r="B82" s="504">
        <f t="shared" si="9"/>
        <v>8.2328627620742889</v>
      </c>
      <c r="C82" s="504">
        <f t="shared" si="9"/>
        <v>5.6024558243862899</v>
      </c>
      <c r="D82" s="504">
        <f t="shared" si="7"/>
        <v>3.4711723972021025</v>
      </c>
      <c r="E82" s="504">
        <f t="shared" si="7"/>
        <v>2.9477824259454781</v>
      </c>
      <c r="F82" s="226">
        <f>SUM(F15:G15)/SUM(F23:G23)</f>
        <v>0.14469979095810931</v>
      </c>
      <c r="G82" s="227">
        <f t="shared" si="10"/>
        <v>0.14469979095810931</v>
      </c>
      <c r="I82" s="234">
        <f t="shared" si="8"/>
        <v>7.4706844925332338E-3</v>
      </c>
      <c r="J82" s="232">
        <f t="shared" si="8"/>
        <v>4.2466243490020851E-3</v>
      </c>
      <c r="K82" s="232">
        <f t="shared" si="8"/>
        <v>2.2626790435445673E-3</v>
      </c>
      <c r="L82" s="232">
        <f t="shared" si="8"/>
        <v>1.7302025568595872E-3</v>
      </c>
      <c r="M82" s="231">
        <f t="shared" si="8"/>
        <v>1.8309231292849094E-4</v>
      </c>
      <c r="N82" s="235">
        <f t="shared" si="8"/>
        <v>5.0411738181305852E-5</v>
      </c>
      <c r="P82" s="293"/>
      <c r="Q82" s="293"/>
      <c r="R82" s="293"/>
      <c r="S82" s="293"/>
      <c r="T82" s="293"/>
      <c r="U82" s="293"/>
      <c r="W82" s="293"/>
      <c r="X82" s="293"/>
      <c r="Y82" s="293"/>
      <c r="Z82" s="293"/>
      <c r="AA82" s="293"/>
      <c r="AB82" s="293"/>
    </row>
    <row r="83" spans="1:28" ht="18" customHeight="1" x14ac:dyDescent="0.35">
      <c r="A83" s="225" t="s">
        <v>101</v>
      </c>
      <c r="B83" s="504">
        <f t="shared" si="9"/>
        <v>5.037477845889093</v>
      </c>
      <c r="C83" s="504">
        <f t="shared" si="9"/>
        <v>3.1032891547300072</v>
      </c>
      <c r="D83" s="504">
        <f t="shared" si="7"/>
        <v>2.5636869836848373</v>
      </c>
      <c r="E83" s="504">
        <f t="shared" si="7"/>
        <v>2.1046454904572629</v>
      </c>
      <c r="F83" s="226">
        <f>SUM(F16:G16)/SUM(F24:G24)</f>
        <v>0.20953811789518298</v>
      </c>
      <c r="G83" s="227">
        <f t="shared" ref="G83" si="11">F83</f>
        <v>0.20953811789518298</v>
      </c>
      <c r="I83" s="234">
        <f t="shared" si="8"/>
        <v>5.1191136648999092E-3</v>
      </c>
      <c r="J83" s="232">
        <f t="shared" si="8"/>
        <v>2.792544490121205E-3</v>
      </c>
      <c r="K83" s="232">
        <f t="shared" si="8"/>
        <v>1.7637469691518732E-3</v>
      </c>
      <c r="L83" s="232">
        <f t="shared" si="8"/>
        <v>1.336142459918374E-3</v>
      </c>
      <c r="M83" s="231">
        <f t="shared" si="8"/>
        <v>1.517067141895856E-4</v>
      </c>
      <c r="N83" s="235">
        <f t="shared" si="8"/>
        <v>8.8347650696176031E-5</v>
      </c>
      <c r="P83" s="293"/>
      <c r="Q83" s="293"/>
      <c r="R83" s="293"/>
      <c r="S83" s="293"/>
      <c r="T83" s="293"/>
      <c r="U83" s="293"/>
      <c r="W83" s="293"/>
      <c r="X83" s="293"/>
      <c r="Y83" s="293"/>
      <c r="Z83" s="293"/>
      <c r="AA83" s="293"/>
      <c r="AB83" s="293"/>
    </row>
    <row r="84" spans="1:28" ht="18" customHeight="1" thickBot="1" x14ac:dyDescent="0.4">
      <c r="A84" s="258" t="s">
        <v>102</v>
      </c>
      <c r="B84" s="259"/>
      <c r="C84" s="259"/>
      <c r="D84" s="259"/>
      <c r="E84" s="259"/>
      <c r="F84" s="259"/>
      <c r="G84" s="260"/>
      <c r="I84" s="261"/>
      <c r="J84" s="262"/>
      <c r="K84" s="262"/>
      <c r="L84" s="262"/>
      <c r="M84" s="262"/>
      <c r="N84" s="263"/>
    </row>
    <row r="86" spans="1:28" s="5" customFormat="1" ht="16.5" customHeight="1" x14ac:dyDescent="0.35">
      <c r="A86" s="5" t="s">
        <v>127</v>
      </c>
    </row>
    <row r="87" spans="1:28" ht="5.25" customHeight="1" thickBot="1" x14ac:dyDescent="0.4"/>
    <row r="88" spans="1:28" ht="22.5" customHeight="1" x14ac:dyDescent="0.35">
      <c r="A88" s="642" t="s">
        <v>96</v>
      </c>
      <c r="B88" s="162" t="s">
        <v>124</v>
      </c>
      <c r="C88" s="162"/>
      <c r="D88" s="162"/>
      <c r="E88" s="640" t="s">
        <v>123</v>
      </c>
    </row>
    <row r="89" spans="1:28" ht="25.5" x14ac:dyDescent="0.35">
      <c r="A89" s="643"/>
      <c r="B89" s="239" t="s">
        <v>94</v>
      </c>
      <c r="C89" s="239" t="s">
        <v>95</v>
      </c>
      <c r="D89" s="239" t="s">
        <v>4</v>
      </c>
      <c r="E89" s="641"/>
    </row>
    <row r="90" spans="1:28" ht="18" customHeight="1" x14ac:dyDescent="0.35">
      <c r="A90" s="222" t="s">
        <v>97</v>
      </c>
      <c r="B90" s="240">
        <f>'I. Datos de entrada'!C122*B79+'I. Datos de entrada'!H122*C79</f>
        <v>3067907.7509396058</v>
      </c>
      <c r="C90" s="242">
        <f>SUMPRODUCT(I79:N79,'I. Datos de entrada'!C108:H108)*1000</f>
        <v>314709.66116832412</v>
      </c>
      <c r="D90" s="243">
        <f>SUM(B90:C90)</f>
        <v>3382617.4121079301</v>
      </c>
      <c r="E90" s="245">
        <f t="shared" ref="E90:E94" si="12">B90/D90</f>
        <v>0.90696267924305152</v>
      </c>
    </row>
    <row r="91" spans="1:28" ht="18" customHeight="1" x14ac:dyDescent="0.35">
      <c r="A91" s="225" t="s">
        <v>98</v>
      </c>
      <c r="B91" s="242">
        <f>SUMPRODUCT(B80:G80,'I. Datos de entrada'!C123:H123)</f>
        <v>493412.43492734153</v>
      </c>
      <c r="C91" s="242">
        <f>SUMPRODUCT(I80:N80,'I. Datos de entrada'!C109:H109)*1000</f>
        <v>166111.74014062711</v>
      </c>
      <c r="D91" s="243">
        <f t="shared" ref="D91:D94" si="13">SUM(B91:C91)</f>
        <v>659524.17506796867</v>
      </c>
      <c r="E91" s="245">
        <f t="shared" si="12"/>
        <v>0.74813396321141956</v>
      </c>
      <c r="F91" s="286"/>
      <c r="G91" s="238"/>
    </row>
    <row r="92" spans="1:28" ht="18" customHeight="1" x14ac:dyDescent="0.35">
      <c r="A92" s="225" t="s">
        <v>99</v>
      </c>
      <c r="B92" s="242">
        <f>SUMPRODUCT(B81:G81,'I. Datos de entrada'!C124:H124)</f>
        <v>711142.35235309473</v>
      </c>
      <c r="C92" s="242">
        <f>SUMPRODUCT(I81:N81,'I. Datos de entrada'!C110:H110)*1000</f>
        <v>271254.62476425176</v>
      </c>
      <c r="D92" s="243">
        <f t="shared" si="13"/>
        <v>982396.97711734648</v>
      </c>
      <c r="E92" s="245">
        <f t="shared" si="12"/>
        <v>0.72388491507761366</v>
      </c>
      <c r="F92" s="238"/>
      <c r="G92" s="238"/>
      <c r="I92" s="238"/>
    </row>
    <row r="93" spans="1:28" ht="18" customHeight="1" x14ac:dyDescent="0.35">
      <c r="A93" s="225" t="s">
        <v>100</v>
      </c>
      <c r="B93" s="242">
        <f>SUMPRODUCT(B82:G82,'I. Datos de entrada'!C125:H125)</f>
        <v>95276.691435787943</v>
      </c>
      <c r="C93" s="242">
        <f>SUMPRODUCT(I82:N82,'I. Datos de entrada'!C111:H111)*1000</f>
        <v>37817.284139582058</v>
      </c>
      <c r="D93" s="243">
        <f t="shared" si="13"/>
        <v>133093.97557537002</v>
      </c>
      <c r="E93" s="245">
        <f t="shared" si="12"/>
        <v>0.71586028611665853</v>
      </c>
      <c r="F93" s="238"/>
      <c r="G93" s="238"/>
      <c r="I93" s="238"/>
    </row>
    <row r="94" spans="1:28" ht="18" customHeight="1" x14ac:dyDescent="0.35">
      <c r="A94" s="225" t="s">
        <v>101</v>
      </c>
      <c r="B94" s="242">
        <f>SUMPRODUCT(B83:G83,'I. Datos de entrada'!C126:H126)</f>
        <v>25419.076907823419</v>
      </c>
      <c r="C94" s="242">
        <f>SUMPRODUCT(I83:N83,'I. Datos de entrada'!C112:H112)*1000</f>
        <v>11034.818035163977</v>
      </c>
      <c r="D94" s="243">
        <f t="shared" si="13"/>
        <v>36453.894942987397</v>
      </c>
      <c r="E94" s="245">
        <f t="shared" si="12"/>
        <v>0.69729385426654567</v>
      </c>
      <c r="F94" s="238"/>
      <c r="G94" s="238"/>
      <c r="I94" s="238"/>
    </row>
    <row r="95" spans="1:28" ht="18" customHeight="1" thickBot="1" x14ac:dyDescent="0.4">
      <c r="A95" s="228" t="s">
        <v>102</v>
      </c>
      <c r="B95" s="267"/>
      <c r="C95" s="267"/>
      <c r="D95" s="268"/>
      <c r="E95" s="269"/>
      <c r="F95" s="238"/>
      <c r="G95" s="238"/>
    </row>
    <row r="96" spans="1:28" ht="7.5" customHeight="1" thickBot="1" x14ac:dyDescent="0.4"/>
    <row r="97" spans="1:5" ht="16.5" customHeight="1" thickBot="1" x14ac:dyDescent="0.4">
      <c r="A97" s="386" t="s">
        <v>1</v>
      </c>
      <c r="B97" s="380">
        <f>SUM(B90:B95)</f>
        <v>4393158.306563654</v>
      </c>
      <c r="C97" s="380">
        <f>SUM(C90:C95)</f>
        <v>800928.12824794906</v>
      </c>
      <c r="D97" s="381">
        <f>SUM(B97:C97)</f>
        <v>5194086.4348116033</v>
      </c>
      <c r="E97" s="387">
        <f>B97/D97</f>
        <v>0.8458</v>
      </c>
    </row>
    <row r="98" spans="1:5" x14ac:dyDescent="0.35">
      <c r="B98" s="238">
        <f>B97-SUM(B13:G17)</f>
        <v>0</v>
      </c>
      <c r="C98" s="238">
        <f>C97-SUM(I13:N17)</f>
        <v>0</v>
      </c>
      <c r="D98" s="238">
        <f>D97-'I. Datos de entrada'!C32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topLeftCell="A64" workbookViewId="0">
      <selection activeCell="B74" sqref="B74"/>
    </sheetView>
  </sheetViews>
  <sheetFormatPr baseColWidth="10" defaultColWidth="11.3984375" defaultRowHeight="12.75" x14ac:dyDescent="0.35"/>
  <cols>
    <col min="1" max="1" width="13.265625" style="308" customWidth="1"/>
    <col min="2" max="2" width="16.3984375" style="308" bestFit="1" customWidth="1"/>
    <col min="3" max="3" width="14.73046875" style="308" bestFit="1" customWidth="1"/>
    <col min="4" max="4" width="16.59765625" style="308" bestFit="1" customWidth="1"/>
    <col min="5" max="5" width="13.73046875" style="308" bestFit="1" customWidth="1"/>
    <col min="6" max="6" width="13.265625" style="308" bestFit="1" customWidth="1"/>
    <col min="7" max="7" width="13" style="308" bestFit="1" customWidth="1"/>
    <col min="8" max="8" width="2.3984375" style="308" customWidth="1"/>
    <col min="9" max="9" width="22.73046875" style="308" bestFit="1" customWidth="1"/>
    <col min="10" max="10" width="16.59765625" style="308" customWidth="1"/>
    <col min="11" max="16384" width="11.3984375" style="308"/>
  </cols>
  <sheetData>
    <row r="1" spans="1:15" s="1" customFormat="1" x14ac:dyDescent="0.35"/>
    <row r="2" spans="1:15" s="1" customFormat="1" x14ac:dyDescent="0.35"/>
    <row r="3" spans="1:15" s="1" customFormat="1" x14ac:dyDescent="0.35"/>
    <row r="4" spans="1:15" s="1" customFormat="1" x14ac:dyDescent="0.35"/>
    <row r="5" spans="1:15" s="1" customFormat="1" x14ac:dyDescent="0.35"/>
    <row r="6" spans="1:15" s="369" customFormat="1" ht="29.25" customHeight="1" x14ac:dyDescent="0.35">
      <c r="A6" s="369" t="s">
        <v>201</v>
      </c>
    </row>
    <row r="7" spans="1:15" s="5" customFormat="1" ht="16.5" customHeight="1" x14ac:dyDescent="0.35">
      <c r="A7" s="5" t="s">
        <v>202</v>
      </c>
    </row>
    <row r="8" spans="1:15" ht="5.25" customHeight="1" thickBot="1" x14ac:dyDescent="0.4"/>
    <row r="9" spans="1:15" s="311" customFormat="1" ht="25.15" customHeight="1" x14ac:dyDescent="0.35">
      <c r="A9" s="646" t="s">
        <v>141</v>
      </c>
      <c r="B9" s="309" t="s">
        <v>142</v>
      </c>
      <c r="C9" s="309"/>
      <c r="D9" s="309"/>
      <c r="E9" s="309"/>
      <c r="F9" s="309"/>
      <c r="G9" s="310"/>
    </row>
    <row r="10" spans="1:15" s="311" customFormat="1" ht="25.15" customHeight="1" x14ac:dyDescent="0.35">
      <c r="A10" s="647"/>
      <c r="B10" s="312" t="s">
        <v>15</v>
      </c>
      <c r="C10" s="312" t="s">
        <v>16</v>
      </c>
      <c r="D10" s="312" t="s">
        <v>17</v>
      </c>
      <c r="E10" s="312" t="s">
        <v>18</v>
      </c>
      <c r="F10" s="312" t="s">
        <v>19</v>
      </c>
      <c r="G10" s="313" t="s">
        <v>20</v>
      </c>
    </row>
    <row r="11" spans="1:15" ht="30" customHeight="1" thickBot="1" x14ac:dyDescent="0.4">
      <c r="A11" s="314" t="s">
        <v>97</v>
      </c>
      <c r="B11" s="315">
        <f>'I. Datos de entrada'!C108*1000</f>
        <v>7454985.8989185542</v>
      </c>
      <c r="C11" s="315">
        <f>'I. Datos de entrada'!D108*1000</f>
        <v>9216568.543044541</v>
      </c>
      <c r="D11" s="315">
        <f>'I. Datos de entrada'!E108*1000</f>
        <v>7745430.3018632475</v>
      </c>
      <c r="E11" s="315">
        <f>'I. Datos de entrada'!F108*1000</f>
        <v>8602946.5787541345</v>
      </c>
      <c r="F11" s="315">
        <f>'I. Datos de entrada'!G108*1000</f>
        <v>3418069.0471894024</v>
      </c>
      <c r="G11" s="316">
        <f>'I. Datos de entrada'!H108*1000</f>
        <v>32638272.769148499</v>
      </c>
      <c r="H11" s="317"/>
      <c r="I11" s="318"/>
      <c r="J11" s="317"/>
      <c r="K11" s="317"/>
      <c r="L11" s="317"/>
      <c r="M11" s="317"/>
      <c r="N11" s="317"/>
      <c r="O11" s="311"/>
    </row>
    <row r="12" spans="1:15" ht="13.15" thickBot="1" x14ac:dyDescent="0.4"/>
    <row r="13" spans="1:15" s="311" customFormat="1" ht="25.15" customHeight="1" x14ac:dyDescent="0.35">
      <c r="A13" s="646" t="s">
        <v>52</v>
      </c>
      <c r="B13" s="309" t="s">
        <v>147</v>
      </c>
      <c r="C13" s="309"/>
      <c r="D13" s="309"/>
      <c r="E13" s="309"/>
      <c r="F13" s="309"/>
      <c r="G13" s="310"/>
    </row>
    <row r="14" spans="1:15" s="311" customFormat="1" ht="25.15" customHeight="1" x14ac:dyDescent="0.35">
      <c r="A14" s="647"/>
      <c r="B14" s="312" t="s">
        <v>15</v>
      </c>
      <c r="C14" s="312" t="s">
        <v>16</v>
      </c>
      <c r="D14" s="312" t="s">
        <v>17</v>
      </c>
      <c r="E14" s="312" t="s">
        <v>18</v>
      </c>
      <c r="F14" s="312" t="s">
        <v>19</v>
      </c>
      <c r="G14" s="313" t="s">
        <v>20</v>
      </c>
    </row>
    <row r="15" spans="1:15" s="311" customFormat="1" ht="25.15" customHeight="1" x14ac:dyDescent="0.35">
      <c r="A15" s="330" t="s">
        <v>2</v>
      </c>
      <c r="B15" s="331">
        <f>'Va. Peajes transporte'!I79</f>
        <v>5.7195538652317721E-3</v>
      </c>
      <c r="C15" s="331">
        <f>'Va. Peajes transporte'!J79</f>
        <v>2.978888453247848E-3</v>
      </c>
      <c r="D15" s="331">
        <f>'Va. Peajes transporte'!K79</f>
        <v>1.7846352889090244E-3</v>
      </c>
      <c r="E15" s="331">
        <f>'Va. Peajes transporte'!L79</f>
        <v>1.3009598510271606E-3</v>
      </c>
      <c r="F15" s="331">
        <f>'Va. Peajes transporte'!M79</f>
        <v>8.4602708926208455E-5</v>
      </c>
      <c r="G15" s="332">
        <f>'Va. Peajes transporte'!N79</f>
        <v>5.4536769750304317E-5</v>
      </c>
    </row>
    <row r="16" spans="1:15" ht="30" customHeight="1" thickBot="1" x14ac:dyDescent="0.4">
      <c r="A16" s="314" t="s">
        <v>145</v>
      </c>
      <c r="B16" s="333">
        <f>'Vb. Peajes distribución'!I79</f>
        <v>1.8254281093029734E-2</v>
      </c>
      <c r="C16" s="333">
        <f>'Vb. Peajes distribución'!J79</f>
        <v>9.8410301927576282E-3</v>
      </c>
      <c r="D16" s="333">
        <f>'Vb. Peajes distribución'!K79</f>
        <v>5.7877321560469448E-3</v>
      </c>
      <c r="E16" s="333">
        <f>'Vb. Peajes distribución'!L79</f>
        <v>4.1936734076252332E-3</v>
      </c>
      <c r="F16" s="333">
        <f>'Vb. Peajes distribución'!M79</f>
        <v>3.3904924184037272E-4</v>
      </c>
      <c r="G16" s="334">
        <f>'Vb. Peajes distribución'!N79</f>
        <v>1.7949496673869581E-4</v>
      </c>
      <c r="H16" s="317"/>
      <c r="I16" s="318"/>
      <c r="J16" s="317"/>
      <c r="K16" s="317"/>
      <c r="L16" s="317"/>
      <c r="M16" s="317"/>
      <c r="N16" s="317"/>
      <c r="O16" s="311"/>
    </row>
    <row r="17" spans="1:15" ht="13.15" thickBot="1" x14ac:dyDescent="0.4"/>
    <row r="18" spans="1:15" s="311" customFormat="1" ht="25.15" customHeight="1" x14ac:dyDescent="0.35">
      <c r="A18" s="646" t="s">
        <v>141</v>
      </c>
      <c r="B18" s="309" t="s">
        <v>143</v>
      </c>
      <c r="C18" s="309"/>
      <c r="D18" s="309"/>
      <c r="E18" s="309"/>
      <c r="F18" s="309"/>
      <c r="G18" s="310"/>
      <c r="I18" s="644" t="s">
        <v>148</v>
      </c>
    </row>
    <row r="19" spans="1:15" s="311" customFormat="1" ht="25.15" customHeight="1" x14ac:dyDescent="0.35">
      <c r="A19" s="647"/>
      <c r="B19" s="312" t="s">
        <v>15</v>
      </c>
      <c r="C19" s="312" t="s">
        <v>16</v>
      </c>
      <c r="D19" s="312" t="s">
        <v>17</v>
      </c>
      <c r="E19" s="312" t="s">
        <v>18</v>
      </c>
      <c r="F19" s="312" t="s">
        <v>19</v>
      </c>
      <c r="G19" s="313" t="s">
        <v>20</v>
      </c>
      <c r="I19" s="645"/>
    </row>
    <row r="20" spans="1:15" s="311" customFormat="1" ht="25.15" customHeight="1" x14ac:dyDescent="0.35">
      <c r="A20" s="330" t="s">
        <v>2</v>
      </c>
      <c r="B20" s="339">
        <f>B11*B15</f>
        <v>42639.193413407971</v>
      </c>
      <c r="C20" s="339">
        <f t="shared" ref="C20:G20" si="0">C11*C15</f>
        <v>27455.129611442724</v>
      </c>
      <c r="D20" s="339">
        <f t="shared" si="0"/>
        <v>13822.768244490429</v>
      </c>
      <c r="E20" s="339">
        <f t="shared" si="0"/>
        <v>11192.0880994906</v>
      </c>
      <c r="F20" s="339">
        <f t="shared" si="0"/>
        <v>289.1779006890477</v>
      </c>
      <c r="G20" s="340">
        <f t="shared" si="0"/>
        <v>1779.9859670586789</v>
      </c>
      <c r="I20" s="361">
        <f>SUM(B20:H20)</f>
        <v>97178.343236579443</v>
      </c>
    </row>
    <row r="21" spans="1:15" ht="30" customHeight="1" thickBot="1" x14ac:dyDescent="0.4">
      <c r="A21" s="314" t="s">
        <v>145</v>
      </c>
      <c r="B21" s="335">
        <f>B11*B$16</f>
        <v>136085.40814343223</v>
      </c>
      <c r="C21" s="335">
        <f t="shared" ref="C21:G21" si="1">C11*C$16</f>
        <v>90700.529305721517</v>
      </c>
      <c r="D21" s="335">
        <f t="shared" si="1"/>
        <v>44828.47602051431</v>
      </c>
      <c r="E21" s="335">
        <f t="shared" si="1"/>
        <v>36077.948294541697</v>
      </c>
      <c r="F21" s="335">
        <f t="shared" si="1"/>
        <v>1158.8937190076119</v>
      </c>
      <c r="G21" s="336">
        <f t="shared" si="1"/>
        <v>5858.4056851067908</v>
      </c>
      <c r="H21" s="317"/>
      <c r="I21" s="362">
        <f>SUM(B21:H21)</f>
        <v>314709.66116832418</v>
      </c>
      <c r="J21" s="318"/>
      <c r="K21" s="317"/>
      <c r="L21" s="317"/>
      <c r="M21" s="317"/>
      <c r="N21" s="317"/>
      <c r="O21" s="311"/>
    </row>
    <row r="22" spans="1:15" ht="13.15" thickBot="1" x14ac:dyDescent="0.4"/>
    <row r="23" spans="1:15" ht="25.15" customHeight="1" x14ac:dyDescent="0.35">
      <c r="A23" s="646" t="s">
        <v>139</v>
      </c>
      <c r="B23" s="309" t="s">
        <v>210</v>
      </c>
      <c r="C23" s="309"/>
      <c r="D23" s="309"/>
      <c r="E23" s="309"/>
      <c r="F23" s="309"/>
      <c r="G23" s="310"/>
    </row>
    <row r="24" spans="1:15" ht="25.15" customHeight="1" x14ac:dyDescent="0.35">
      <c r="A24" s="647"/>
      <c r="B24" s="312" t="s">
        <v>15</v>
      </c>
      <c r="C24" s="312" t="s">
        <v>16</v>
      </c>
      <c r="D24" s="312" t="s">
        <v>17</v>
      </c>
      <c r="E24" s="312" t="s">
        <v>18</v>
      </c>
      <c r="F24" s="312" t="s">
        <v>19</v>
      </c>
      <c r="G24" s="313" t="s">
        <v>20</v>
      </c>
    </row>
    <row r="25" spans="1:15" s="311" customFormat="1" ht="25.15" customHeight="1" x14ac:dyDescent="0.35">
      <c r="A25" s="337" t="s">
        <v>15</v>
      </c>
      <c r="B25" s="319">
        <f>'I. Datos de entrada'!C145</f>
        <v>0.90615873590351392</v>
      </c>
      <c r="C25" s="319">
        <f>'I. Datos de entrada'!D145</f>
        <v>0.36116780167338319</v>
      </c>
      <c r="D25" s="319">
        <f>'I. Datos de entrada'!E145</f>
        <v>0.59715305065445778</v>
      </c>
      <c r="E25" s="319">
        <f>'I. Datos de entrada'!F145</f>
        <v>0.47938745652839976</v>
      </c>
      <c r="F25" s="319">
        <f>'I. Datos de entrada'!G145</f>
        <v>0</v>
      </c>
      <c r="G25" s="320">
        <f>'I. Datos de entrada'!H145</f>
        <v>0</v>
      </c>
    </row>
    <row r="26" spans="1:15" s="311" customFormat="1" ht="25.15" customHeight="1" x14ac:dyDescent="0.35">
      <c r="A26" s="337" t="s">
        <v>16</v>
      </c>
      <c r="B26" s="321">
        <f>'I. Datos de entrada'!C146</f>
        <v>9.3841264096486035E-2</v>
      </c>
      <c r="C26" s="321">
        <f>'I. Datos de entrada'!D146</f>
        <v>0.63883219832661686</v>
      </c>
      <c r="D26" s="321">
        <f>'I. Datos de entrada'!E146</f>
        <v>0.4028469493455421</v>
      </c>
      <c r="E26" s="321">
        <f>'I. Datos de entrada'!F146</f>
        <v>0.52061254347160013</v>
      </c>
      <c r="F26" s="321">
        <f>'I. Datos de entrada'!G146</f>
        <v>1</v>
      </c>
      <c r="G26" s="320">
        <f>'I. Datos de entrada'!H146</f>
        <v>0</v>
      </c>
    </row>
    <row r="27" spans="1:15" s="311" customFormat="1" ht="25.15" customHeight="1" x14ac:dyDescent="0.35">
      <c r="A27" s="337" t="s">
        <v>17</v>
      </c>
      <c r="B27" s="321">
        <f>'I. Datos de entrada'!C147</f>
        <v>0</v>
      </c>
      <c r="C27" s="321">
        <f>'I. Datos de entrada'!D147</f>
        <v>0</v>
      </c>
      <c r="D27" s="321">
        <f>'I. Datos de entrada'!E147</f>
        <v>0</v>
      </c>
      <c r="E27" s="321">
        <f>'I. Datos de entrada'!F147</f>
        <v>0</v>
      </c>
      <c r="F27" s="321">
        <f>'I. Datos de entrada'!G147</f>
        <v>0</v>
      </c>
      <c r="G27" s="320">
        <f>'I. Datos de entrada'!H147</f>
        <v>1</v>
      </c>
    </row>
    <row r="28" spans="1:15" s="311" customFormat="1" ht="25.15" customHeight="1" thickBot="1" x14ac:dyDescent="0.4">
      <c r="A28" s="373" t="s">
        <v>4</v>
      </c>
      <c r="B28" s="377">
        <f>SUM(B25:B27)</f>
        <v>1</v>
      </c>
      <c r="C28" s="377">
        <f t="shared" ref="C28:G28" si="2">SUM(C25:C27)</f>
        <v>1</v>
      </c>
      <c r="D28" s="377">
        <f t="shared" si="2"/>
        <v>0.99999999999999989</v>
      </c>
      <c r="E28" s="377">
        <f t="shared" si="2"/>
        <v>0.99999999999999989</v>
      </c>
      <c r="F28" s="377">
        <f t="shared" si="2"/>
        <v>1</v>
      </c>
      <c r="G28" s="378">
        <f t="shared" si="2"/>
        <v>1</v>
      </c>
    </row>
    <row r="29" spans="1:15" s="311" customFormat="1" ht="25.15" customHeight="1" x14ac:dyDescent="0.35">
      <c r="A29" s="341"/>
      <c r="B29" s="342"/>
      <c r="C29" s="342"/>
      <c r="D29" s="342"/>
      <c r="E29" s="342"/>
      <c r="F29" s="342"/>
      <c r="G29" s="342"/>
    </row>
    <row r="30" spans="1:15" ht="13.15" thickBot="1" x14ac:dyDescent="0.4">
      <c r="B30" s="322"/>
    </row>
    <row r="31" spans="1:15" ht="25.15" customHeight="1" x14ac:dyDescent="0.35">
      <c r="A31" s="646" t="s">
        <v>139</v>
      </c>
      <c r="B31" s="309" t="s">
        <v>140</v>
      </c>
      <c r="C31" s="309"/>
      <c r="D31" s="309"/>
      <c r="E31" s="309"/>
      <c r="F31" s="309"/>
      <c r="G31" s="310"/>
      <c r="I31" s="644" t="s">
        <v>144</v>
      </c>
    </row>
    <row r="32" spans="1:15" ht="25.15" customHeight="1" x14ac:dyDescent="0.35">
      <c r="A32" s="647"/>
      <c r="B32" s="312" t="s">
        <v>15</v>
      </c>
      <c r="C32" s="312" t="s">
        <v>16</v>
      </c>
      <c r="D32" s="312" t="s">
        <v>17</v>
      </c>
      <c r="E32" s="312" t="s">
        <v>18</v>
      </c>
      <c r="F32" s="312" t="s">
        <v>19</v>
      </c>
      <c r="G32" s="313" t="s">
        <v>20</v>
      </c>
      <c r="I32" s="645"/>
    </row>
    <row r="33" spans="1:9" s="311" customFormat="1" ht="25.15" customHeight="1" x14ac:dyDescent="0.35">
      <c r="A33" s="348" t="s">
        <v>2</v>
      </c>
      <c r="B33" s="323"/>
      <c r="C33" s="323"/>
      <c r="D33" s="323"/>
      <c r="E33" s="323"/>
      <c r="F33" s="323"/>
      <c r="G33" s="324"/>
      <c r="I33" s="343">
        <f>SUM(I34:I36)</f>
        <v>97178.343236579458</v>
      </c>
    </row>
    <row r="34" spans="1:9" s="311" customFormat="1" ht="25.15" customHeight="1" x14ac:dyDescent="0.35">
      <c r="A34" s="337" t="s">
        <v>15</v>
      </c>
      <c r="B34" s="326">
        <f>B$20*B25</f>
        <v>38637.877603439207</v>
      </c>
      <c r="C34" s="326">
        <f t="shared" ref="C34:G34" si="3">C$20*C25</f>
        <v>9915.9088064225762</v>
      </c>
      <c r="D34" s="326">
        <f t="shared" si="3"/>
        <v>8254.3082256870239</v>
      </c>
      <c r="E34" s="326">
        <f t="shared" si="3"/>
        <v>5365.3466472565706</v>
      </c>
      <c r="F34" s="326">
        <f t="shared" si="3"/>
        <v>0</v>
      </c>
      <c r="G34" s="344">
        <f t="shared" si="3"/>
        <v>0</v>
      </c>
      <c r="I34" s="325">
        <f>SUM(B34:H34)</f>
        <v>62173.441282805383</v>
      </c>
    </row>
    <row r="35" spans="1:9" s="311" customFormat="1" ht="25.15" customHeight="1" x14ac:dyDescent="0.35">
      <c r="A35" s="337" t="s">
        <v>16</v>
      </c>
      <c r="B35" s="326">
        <f t="shared" ref="B35:G36" si="4">B$20*B26</f>
        <v>4001.3158099687653</v>
      </c>
      <c r="C35" s="326">
        <f t="shared" si="4"/>
        <v>17539.220805020148</v>
      </c>
      <c r="D35" s="326">
        <f t="shared" si="4"/>
        <v>5568.4600188034037</v>
      </c>
      <c r="E35" s="326">
        <f t="shared" si="4"/>
        <v>5826.7414522340287</v>
      </c>
      <c r="F35" s="326">
        <f t="shared" si="4"/>
        <v>289.1779006890477</v>
      </c>
      <c r="G35" s="344">
        <f t="shared" si="4"/>
        <v>0</v>
      </c>
      <c r="I35" s="325">
        <f t="shared" ref="I35:I36" si="5">SUM(B35:H35)</f>
        <v>33224.915986715394</v>
      </c>
    </row>
    <row r="36" spans="1:9" s="311" customFormat="1" ht="25.15" customHeight="1" x14ac:dyDescent="0.35">
      <c r="A36" s="337" t="s">
        <v>17</v>
      </c>
      <c r="B36" s="326">
        <f t="shared" si="4"/>
        <v>0</v>
      </c>
      <c r="C36" s="326">
        <f t="shared" si="4"/>
        <v>0</v>
      </c>
      <c r="D36" s="326">
        <f t="shared" si="4"/>
        <v>0</v>
      </c>
      <c r="E36" s="326">
        <f t="shared" si="4"/>
        <v>0</v>
      </c>
      <c r="F36" s="326">
        <f t="shared" si="4"/>
        <v>0</v>
      </c>
      <c r="G36" s="344">
        <f t="shared" si="4"/>
        <v>1779.9859670586789</v>
      </c>
      <c r="I36" s="325">
        <f t="shared" si="5"/>
        <v>1779.9859670586789</v>
      </c>
    </row>
    <row r="37" spans="1:9" s="311" customFormat="1" ht="25.15" customHeight="1" x14ac:dyDescent="0.35">
      <c r="A37" s="348" t="s">
        <v>146</v>
      </c>
      <c r="B37" s="326"/>
      <c r="C37" s="326"/>
      <c r="D37" s="326"/>
      <c r="E37" s="326"/>
      <c r="F37" s="326"/>
      <c r="G37" s="324"/>
      <c r="I37" s="343">
        <f>SUM(I38:I40)</f>
        <v>314709.66116832418</v>
      </c>
    </row>
    <row r="38" spans="1:9" s="311" customFormat="1" ht="25.15" customHeight="1" x14ac:dyDescent="0.35">
      <c r="A38" s="337" t="s">
        <v>15</v>
      </c>
      <c r="B38" s="326">
        <f>B$21*B25</f>
        <v>123314.98141816631</v>
      </c>
      <c r="C38" s="326">
        <f t="shared" ref="C38:G38" si="6">C$21*C25</f>
        <v>32758.110779959708</v>
      </c>
      <c r="D38" s="326">
        <f t="shared" si="6"/>
        <v>26769.461211840327</v>
      </c>
      <c r="E38" s="326">
        <f t="shared" si="6"/>
        <v>17295.315869683462</v>
      </c>
      <c r="F38" s="326">
        <f t="shared" si="6"/>
        <v>0</v>
      </c>
      <c r="G38" s="324">
        <f t="shared" si="6"/>
        <v>0</v>
      </c>
      <c r="I38" s="325">
        <f>SUM(B38:H38)</f>
        <v>200137.86927964981</v>
      </c>
    </row>
    <row r="39" spans="1:9" s="311" customFormat="1" ht="25.15" customHeight="1" x14ac:dyDescent="0.35">
      <c r="A39" s="337" t="s">
        <v>16</v>
      </c>
      <c r="B39" s="326">
        <f>B$21*B26</f>
        <v>12770.426725265916</v>
      </c>
      <c r="C39" s="326">
        <f t="shared" ref="C39:G40" si="7">C$21*C26</f>
        <v>57942.418525761816</v>
      </c>
      <c r="D39" s="326">
        <f t="shared" si="7"/>
        <v>18059.014808673975</v>
      </c>
      <c r="E39" s="326">
        <f t="shared" si="7"/>
        <v>18782.632424858231</v>
      </c>
      <c r="F39" s="326">
        <f t="shared" si="7"/>
        <v>1158.8937190076119</v>
      </c>
      <c r="G39" s="324">
        <f t="shared" si="7"/>
        <v>0</v>
      </c>
      <c r="I39" s="325">
        <f t="shared" ref="I39:I40" si="8">SUM(B39:H39)</f>
        <v>108713.38620356756</v>
      </c>
    </row>
    <row r="40" spans="1:9" s="311" customFormat="1" ht="25.15" customHeight="1" thickBot="1" x14ac:dyDescent="0.4">
      <c r="A40" s="338" t="s">
        <v>17</v>
      </c>
      <c r="B40" s="327">
        <f>B$21*B27</f>
        <v>0</v>
      </c>
      <c r="C40" s="327">
        <f t="shared" si="7"/>
        <v>0</v>
      </c>
      <c r="D40" s="327">
        <f t="shared" si="7"/>
        <v>0</v>
      </c>
      <c r="E40" s="327">
        <f t="shared" si="7"/>
        <v>0</v>
      </c>
      <c r="F40" s="327">
        <f t="shared" si="7"/>
        <v>0</v>
      </c>
      <c r="G40" s="328">
        <f t="shared" si="7"/>
        <v>5858.4056851067908</v>
      </c>
      <c r="I40" s="329">
        <f t="shared" si="8"/>
        <v>5858.4056851067908</v>
      </c>
    </row>
    <row r="42" spans="1:9" ht="13.15" thickBot="1" x14ac:dyDescent="0.4"/>
    <row r="43" spans="1:9" ht="60" customHeight="1" x14ac:dyDescent="0.35">
      <c r="A43" s="469" t="s">
        <v>208</v>
      </c>
      <c r="B43" s="470" t="s">
        <v>205</v>
      </c>
    </row>
    <row r="44" spans="1:9" s="311" customFormat="1" ht="25.15" customHeight="1" x14ac:dyDescent="0.35">
      <c r="A44" s="475" t="s">
        <v>15</v>
      </c>
      <c r="B44" s="324">
        <f>'I. Datos de entrada'!$C$107*1000</f>
        <v>18835071.930136669</v>
      </c>
      <c r="C44" s="308"/>
      <c r="D44" s="308"/>
      <c r="E44" s="308"/>
      <c r="F44" s="308"/>
      <c r="G44" s="308"/>
    </row>
    <row r="45" spans="1:9" s="311" customFormat="1" ht="25.15" customHeight="1" x14ac:dyDescent="0.35">
      <c r="A45" s="475" t="s">
        <v>16</v>
      </c>
      <c r="B45" s="324">
        <f>'I. Datos de entrada'!$D$107*1000</f>
        <v>17602928.439633213</v>
      </c>
      <c r="C45" s="308"/>
      <c r="D45" s="308"/>
      <c r="E45" s="308"/>
      <c r="F45" s="308"/>
      <c r="G45" s="308"/>
    </row>
    <row r="46" spans="1:9" s="311" customFormat="1" ht="25.15" customHeight="1" thickBot="1" x14ac:dyDescent="0.4">
      <c r="A46" s="476" t="s">
        <v>17</v>
      </c>
      <c r="B46" s="328">
        <f>'I. Datos de entrada'!$E$107*1000</f>
        <v>32638272.769148499</v>
      </c>
      <c r="C46" s="308"/>
      <c r="D46" s="308"/>
      <c r="E46" s="308"/>
      <c r="F46" s="308"/>
      <c r="G46" s="308"/>
    </row>
    <row r="47" spans="1:9" ht="13.15" thickBot="1" x14ac:dyDescent="0.4"/>
    <row r="48" spans="1:9" ht="25.15" customHeight="1" x14ac:dyDescent="0.35">
      <c r="A48" s="646" t="s">
        <v>141</v>
      </c>
      <c r="B48" s="309" t="s">
        <v>160</v>
      </c>
      <c r="C48" s="309"/>
      <c r="D48" s="310"/>
    </row>
    <row r="49" spans="1:15" ht="25.15" customHeight="1" x14ac:dyDescent="0.35">
      <c r="A49" s="647"/>
      <c r="B49" s="312" t="s">
        <v>15</v>
      </c>
      <c r="C49" s="312" t="s">
        <v>16</v>
      </c>
      <c r="D49" s="313" t="s">
        <v>17</v>
      </c>
    </row>
    <row r="50" spans="1:15" ht="30" customHeight="1" x14ac:dyDescent="0.35">
      <c r="A50" s="347" t="s">
        <v>2</v>
      </c>
      <c r="B50" s="463">
        <f>I34/B44</f>
        <v>3.3009399440267623E-3</v>
      </c>
      <c r="C50" s="463">
        <f>I35/B45</f>
        <v>1.8874652646947699E-3</v>
      </c>
      <c r="D50" s="464">
        <f>I36/B46</f>
        <v>5.4536769750304317E-5</v>
      </c>
      <c r="I50" s="318"/>
      <c r="J50" s="317"/>
      <c r="K50" s="317"/>
      <c r="L50" s="317"/>
      <c r="M50" s="317"/>
      <c r="N50" s="317"/>
      <c r="O50" s="311"/>
    </row>
    <row r="51" spans="1:15" ht="30" customHeight="1" x14ac:dyDescent="0.35">
      <c r="A51" s="347" t="s">
        <v>145</v>
      </c>
      <c r="B51" s="463">
        <f>I38/B44</f>
        <v>1.0625808599086012E-2</v>
      </c>
      <c r="C51" s="463">
        <f>I39/B45</f>
        <v>6.1758693490338804E-3</v>
      </c>
      <c r="D51" s="464">
        <f>I40/B46</f>
        <v>1.7949496673869581E-4</v>
      </c>
      <c r="I51" s="318"/>
      <c r="J51" s="317"/>
      <c r="K51" s="317"/>
      <c r="L51" s="317"/>
      <c r="M51" s="317"/>
      <c r="N51" s="317"/>
      <c r="O51" s="311"/>
    </row>
    <row r="52" spans="1:15" ht="30" customHeight="1" thickBot="1" x14ac:dyDescent="0.4">
      <c r="A52" s="373" t="s">
        <v>149</v>
      </c>
      <c r="B52" s="375">
        <f>SUM(B50:B51)</f>
        <v>1.3926748543112774E-2</v>
      </c>
      <c r="C52" s="375">
        <f t="shared" ref="C52:D52" si="9">SUM(C50:C51)</f>
        <v>8.0633346137286496E-3</v>
      </c>
      <c r="D52" s="376">
        <f t="shared" si="9"/>
        <v>2.3403173648900013E-4</v>
      </c>
      <c r="I52" s="318"/>
      <c r="J52" s="317"/>
      <c r="K52" s="317"/>
      <c r="L52" s="317"/>
      <c r="M52" s="317"/>
      <c r="N52" s="317"/>
      <c r="O52" s="311"/>
    </row>
    <row r="53" spans="1:15" x14ac:dyDescent="0.35">
      <c r="A53" s="345"/>
      <c r="B53" s="346"/>
      <c r="C53" s="346"/>
      <c r="D53" s="346"/>
      <c r="I53" s="318"/>
      <c r="J53" s="317"/>
      <c r="K53" s="317"/>
      <c r="L53" s="317"/>
      <c r="M53" s="317"/>
      <c r="N53" s="317"/>
      <c r="O53" s="311"/>
    </row>
    <row r="55" spans="1:15" s="5" customFormat="1" ht="16.5" customHeight="1" x14ac:dyDescent="0.35">
      <c r="A55" s="5" t="s">
        <v>150</v>
      </c>
    </row>
    <row r="56" spans="1:15" ht="5.25" customHeight="1" thickBot="1" x14ac:dyDescent="0.4"/>
    <row r="57" spans="1:15" ht="23.25" customHeight="1" x14ac:dyDescent="0.35">
      <c r="A57" s="646" t="s">
        <v>141</v>
      </c>
      <c r="B57" s="162" t="s">
        <v>153</v>
      </c>
      <c r="C57" s="162"/>
      <c r="D57" s="162"/>
      <c r="E57" s="640" t="s">
        <v>123</v>
      </c>
    </row>
    <row r="58" spans="1:15" ht="38.25" x14ac:dyDescent="0.35">
      <c r="A58" s="647"/>
      <c r="B58" s="239" t="s">
        <v>155</v>
      </c>
      <c r="C58" s="239" t="s">
        <v>156</v>
      </c>
      <c r="D58" s="239" t="s">
        <v>157</v>
      </c>
      <c r="E58" s="641"/>
    </row>
    <row r="59" spans="1:15" customFormat="1" ht="18" customHeight="1" x14ac:dyDescent="0.35">
      <c r="A59" s="349" t="s">
        <v>151</v>
      </c>
      <c r="B59" s="352">
        <f>'Va. Peajes transporte'!B90</f>
        <v>436049.69786771399</v>
      </c>
      <c r="C59" s="352">
        <f>'Va. Peajes transporte'!C90</f>
        <v>97178.343236579472</v>
      </c>
      <c r="D59" s="352">
        <f>SUM(B59:C59)</f>
        <v>533228.04110429343</v>
      </c>
      <c r="E59" s="353">
        <f t="shared" ref="E59" si="10">B59/D59</f>
        <v>0.81775462701600032</v>
      </c>
      <c r="F59" s="238"/>
      <c r="G59" s="238"/>
      <c r="I59" s="238"/>
    </row>
    <row r="60" spans="1:15" customFormat="1" ht="18" customHeight="1" x14ac:dyDescent="0.35">
      <c r="A60" s="360" t="s">
        <v>152</v>
      </c>
      <c r="B60" s="455">
        <f>'Vb. Peajes distribución'!B90</f>
        <v>3067907.7509396058</v>
      </c>
      <c r="C60" s="455">
        <f>'Vb. Peajes distribución'!C90</f>
        <v>314709.66116832412</v>
      </c>
      <c r="D60" s="455">
        <f>SUM(B60:C60)</f>
        <v>3382617.4121079301</v>
      </c>
      <c r="E60" s="478">
        <f>B60/D60</f>
        <v>0.90696267924305152</v>
      </c>
      <c r="F60" s="238"/>
      <c r="G60" s="238"/>
      <c r="I60" s="238"/>
    </row>
    <row r="61" spans="1:15" customFormat="1" ht="21.75" customHeight="1" thickBot="1" x14ac:dyDescent="0.4">
      <c r="A61" s="465" t="s">
        <v>4</v>
      </c>
      <c r="B61" s="477">
        <f>SUM(B59:B60)</f>
        <v>3503957.4488073196</v>
      </c>
      <c r="C61" s="477">
        <f t="shared" ref="C61:D61" si="11">SUM(C59:C60)</f>
        <v>411888.00440490362</v>
      </c>
      <c r="D61" s="477">
        <f t="shared" si="11"/>
        <v>3915845.4532122235</v>
      </c>
      <c r="E61" s="479">
        <f>B61/D61</f>
        <v>0.89481505097014835</v>
      </c>
      <c r="F61" s="238"/>
      <c r="G61" s="238"/>
    </row>
    <row r="62" spans="1:15" ht="13.15" thickBot="1" x14ac:dyDescent="0.4"/>
    <row r="63" spans="1:15" ht="23.25" customHeight="1" x14ac:dyDescent="0.35">
      <c r="A63" s="646" t="s">
        <v>141</v>
      </c>
      <c r="B63" s="162" t="s">
        <v>154</v>
      </c>
      <c r="C63" s="163"/>
    </row>
    <row r="64" spans="1:15" ht="38.25" x14ac:dyDescent="0.35">
      <c r="A64" s="647"/>
      <c r="B64" s="239" t="s">
        <v>158</v>
      </c>
      <c r="C64" s="307" t="s">
        <v>159</v>
      </c>
    </row>
    <row r="65" spans="1:18" s="1" customFormat="1" ht="21" customHeight="1" x14ac:dyDescent="0.35">
      <c r="A65" s="349" t="s">
        <v>151</v>
      </c>
      <c r="B65" s="459">
        <f>D59*75%/B59</f>
        <v>0.9171455290161572</v>
      </c>
      <c r="C65" s="460">
        <f>D59*25%/C59</f>
        <v>1.3717769395547226</v>
      </c>
      <c r="D65" s="311"/>
      <c r="E65" s="311"/>
      <c r="F65" s="480"/>
      <c r="G65" s="480"/>
      <c r="I65" s="480"/>
    </row>
    <row r="66" spans="1:18" s="1" customFormat="1" ht="21" customHeight="1" thickBot="1" x14ac:dyDescent="0.4">
      <c r="A66" s="350" t="s">
        <v>152</v>
      </c>
      <c r="B66" s="461">
        <f>D60*75%/B60</f>
        <v>0.82693590063259037</v>
      </c>
      <c r="C66" s="462">
        <f>D60*25%/C60</f>
        <v>2.6870937164356063</v>
      </c>
      <c r="D66" s="311"/>
      <c r="E66" s="311"/>
      <c r="F66" s="480"/>
      <c r="G66" s="480"/>
      <c r="I66" s="480"/>
    </row>
    <row r="67" spans="1:18" ht="13.15" thickBot="1" x14ac:dyDescent="0.4"/>
    <row r="68" spans="1:18" ht="25.15" customHeight="1" x14ac:dyDescent="0.35">
      <c r="A68" s="646" t="s">
        <v>141</v>
      </c>
      <c r="B68" s="162" t="s">
        <v>121</v>
      </c>
      <c r="C68" s="162"/>
      <c r="D68" s="309" t="s">
        <v>160</v>
      </c>
      <c r="E68" s="309"/>
      <c r="F68" s="310"/>
    </row>
    <row r="69" spans="1:18" ht="25.15" customHeight="1" x14ac:dyDescent="0.35">
      <c r="A69" s="647"/>
      <c r="B69" s="164" t="s">
        <v>15</v>
      </c>
      <c r="C69" s="164" t="s">
        <v>16</v>
      </c>
      <c r="D69" s="312" t="s">
        <v>15</v>
      </c>
      <c r="E69" s="312" t="s">
        <v>16</v>
      </c>
      <c r="F69" s="313" t="s">
        <v>17</v>
      </c>
    </row>
    <row r="70" spans="1:18" ht="30" customHeight="1" x14ac:dyDescent="0.35">
      <c r="A70" s="347" t="s">
        <v>2</v>
      </c>
      <c r="B70" s="501">
        <f>'Va. Peajes transporte'!B79*$B$65</f>
        <v>3.1172003793380214</v>
      </c>
      <c r="C70" s="501">
        <f>'Va. Peajes transporte'!C79*$B$65</f>
        <v>3.910221803849212E-2</v>
      </c>
      <c r="D70" s="482">
        <f>B50*$C$65</f>
        <v>4.528153294070969E-3</v>
      </c>
      <c r="E70" s="482">
        <f>C50*$C$65</f>
        <v>2.5891813243188355E-3</v>
      </c>
      <c r="F70" s="483">
        <f>D50*$C$65</f>
        <v>7.481228310127303E-5</v>
      </c>
      <c r="L70" s="318"/>
      <c r="M70" s="317"/>
      <c r="N70" s="317"/>
      <c r="O70" s="317"/>
      <c r="P70" s="317"/>
      <c r="Q70" s="317"/>
      <c r="R70" s="311"/>
    </row>
    <row r="71" spans="1:18" ht="30" customHeight="1" x14ac:dyDescent="0.35">
      <c r="A71" s="347" t="s">
        <v>145</v>
      </c>
      <c r="B71" s="501">
        <f>'Vb. Peajes distribución'!B79*$B$66</f>
        <v>19.284546081468484</v>
      </c>
      <c r="C71" s="501">
        <f>'Vb. Peajes distribución'!C79*$B$66</f>
        <v>0.73746157705545212</v>
      </c>
      <c r="D71" s="482">
        <f>B51*$C$66</f>
        <v>2.8552543518651455E-2</v>
      </c>
      <c r="E71" s="482">
        <f>C51*$C$66</f>
        <v>1.65951397213162E-2</v>
      </c>
      <c r="F71" s="483">
        <f>D51*$C$66</f>
        <v>4.8231979725536767E-4</v>
      </c>
      <c r="L71" s="318"/>
      <c r="M71" s="317"/>
      <c r="N71" s="317"/>
      <c r="O71" s="317"/>
      <c r="P71" s="317"/>
      <c r="Q71" s="317"/>
      <c r="R71" s="311"/>
    </row>
    <row r="72" spans="1:18" ht="30" customHeight="1" thickBot="1" x14ac:dyDescent="0.4">
      <c r="A72" s="373" t="s">
        <v>149</v>
      </c>
      <c r="B72" s="503">
        <f>SUM(B70:B71)</f>
        <v>22.401746460806507</v>
      </c>
      <c r="C72" s="503">
        <f>SUM(C70:C71)</f>
        <v>0.77656379509394424</v>
      </c>
      <c r="D72" s="484">
        <f>SUM(D70:D71)</f>
        <v>3.3080696812722424E-2</v>
      </c>
      <c r="E72" s="484">
        <f t="shared" ref="E72" si="12">SUM(E70:E71)</f>
        <v>1.9184321045635035E-2</v>
      </c>
      <c r="F72" s="485">
        <f t="shared" ref="F72" si="13">SUM(F70:F71)</f>
        <v>5.5713208035664073E-4</v>
      </c>
      <c r="L72" s="318"/>
      <c r="M72" s="317"/>
      <c r="N72" s="317"/>
      <c r="O72" s="317"/>
      <c r="P72" s="317"/>
      <c r="Q72" s="317"/>
      <c r="R72" s="311"/>
    </row>
    <row r="73" spans="1:18" ht="13.15" thickBot="1" x14ac:dyDescent="0.4"/>
    <row r="74" spans="1:18" ht="22.5" customHeight="1" x14ac:dyDescent="0.35">
      <c r="A74" s="646" t="s">
        <v>141</v>
      </c>
      <c r="B74" s="586" t="s">
        <v>153</v>
      </c>
      <c r="C74" s="162"/>
      <c r="D74" s="162"/>
      <c r="E74" s="640" t="s">
        <v>123</v>
      </c>
    </row>
    <row r="75" spans="1:18" ht="25.5" x14ac:dyDescent="0.35">
      <c r="A75" s="647"/>
      <c r="B75" s="239" t="s">
        <v>94</v>
      </c>
      <c r="C75" s="239" t="s">
        <v>95</v>
      </c>
      <c r="D75" s="239" t="s">
        <v>4</v>
      </c>
      <c r="E75" s="641"/>
    </row>
    <row r="76" spans="1:18" s="311" customFormat="1" ht="25.15" customHeight="1" x14ac:dyDescent="0.35">
      <c r="A76" s="349" t="s">
        <v>151</v>
      </c>
      <c r="B76" s="352">
        <f>B70*'I. Datos de entrada'!$C$122+C70*'I. Datos de entrada'!$H$122</f>
        <v>399921.03082822007</v>
      </c>
      <c r="C76" s="352">
        <f>$B$44*D70+$B$45*E70+$B$46*F70</f>
        <v>133307.01027607333</v>
      </c>
      <c r="D76" s="352">
        <f>SUM(B76:C76)</f>
        <v>533228.04110429343</v>
      </c>
      <c r="E76" s="353">
        <f t="shared" ref="E76" si="14">B76/D76</f>
        <v>0.75</v>
      </c>
    </row>
    <row r="77" spans="1:18" s="311" customFormat="1" ht="25.15" customHeight="1" x14ac:dyDescent="0.35">
      <c r="A77" s="349" t="s">
        <v>152</v>
      </c>
      <c r="B77" s="352">
        <f>B71*'I. Datos de entrada'!$C$122+C71*'I. Datos de entrada'!$H$122</f>
        <v>2536963.0590809481</v>
      </c>
      <c r="C77" s="352">
        <f>$B$44*D71+$B$45*E71+$B$46*F71</f>
        <v>845654.35302698251</v>
      </c>
      <c r="D77" s="352">
        <f>SUM(B77:C77)</f>
        <v>3382617.4121079305</v>
      </c>
      <c r="E77" s="353">
        <f>B77/D77</f>
        <v>0.75000000000000011</v>
      </c>
    </row>
    <row r="78" spans="1:18" s="311" customFormat="1" ht="25.15" customHeight="1" thickBot="1" x14ac:dyDescent="0.4">
      <c r="A78" s="388" t="s">
        <v>4</v>
      </c>
      <c r="B78" s="389">
        <f>SUM(B76:B77)</f>
        <v>2936884.089909168</v>
      </c>
      <c r="C78" s="389">
        <f t="shared" ref="C78" si="15">SUM(C76:C77)</f>
        <v>978961.36330305587</v>
      </c>
      <c r="D78" s="389">
        <f t="shared" ref="D78" si="16">SUM(D76:D77)</f>
        <v>3915845.4532122239</v>
      </c>
      <c r="E78" s="390">
        <f>B78/D78</f>
        <v>0.75</v>
      </c>
    </row>
    <row r="79" spans="1:18" x14ac:dyDescent="0.35">
      <c r="D79" s="416">
        <f>D78-SUM('Va. Peajes transporte'!D90,'Vb. Peajes distribución'!D90)</f>
        <v>0</v>
      </c>
    </row>
  </sheetData>
  <mergeCells count="14">
    <mergeCell ref="A63:A64"/>
    <mergeCell ref="A68:A69"/>
    <mergeCell ref="A74:A75"/>
    <mergeCell ref="E74:E75"/>
    <mergeCell ref="A48:A49"/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2023-11-23T14:33:04Z</dcterms:created>
  <dcterms:modified xsi:type="dcterms:W3CDTF">2023-12-01T12:59:07Z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707d3e-ee9a-4b44-b9d3-ec2af873d3b4_Enabled">
    <vt:lpwstr>true</vt:lpwstr>
  </property>
  <property fmtid="{D5CDD505-2E9C-101B-9397-08002B2CF9AE}" pid="3" name="MSIP_Label_17707d3e-ee9a-4b44-b9d3-ec2af873d3b4_SetDate">
    <vt:lpwstr>2023-11-23T14:36:27Z</vt:lpwstr>
  </property>
  <property fmtid="{D5CDD505-2E9C-101B-9397-08002B2CF9AE}" pid="4" name="MSIP_Label_17707d3e-ee9a-4b44-b9d3-ec2af873d3b4_Method">
    <vt:lpwstr>Privileged</vt:lpwstr>
  </property>
  <property fmtid="{D5CDD505-2E9C-101B-9397-08002B2CF9AE}" pid="5" name="MSIP_Label_17707d3e-ee9a-4b44-b9d3-ec2af873d3b4_Name">
    <vt:lpwstr>PUBLICA</vt:lpwstr>
  </property>
  <property fmtid="{D5CDD505-2E9C-101B-9397-08002B2CF9AE}" pid="6" name="MSIP_Label_17707d3e-ee9a-4b44-b9d3-ec2af873d3b4_SiteId">
    <vt:lpwstr>6aa9af7d-66e3-4309-b8d7-e4aef08e5761</vt:lpwstr>
  </property>
  <property fmtid="{D5CDD505-2E9C-101B-9397-08002B2CF9AE}" pid="7" name="MSIP_Label_17707d3e-ee9a-4b44-b9d3-ec2af873d3b4_ActionId">
    <vt:lpwstr>c51b5d25-4611-4757-af2b-ac78b317597b</vt:lpwstr>
  </property>
  <property fmtid="{D5CDD505-2E9C-101B-9397-08002B2CF9AE}" pid="8" name="MSIP_Label_17707d3e-ee9a-4b44-b9d3-ec2af873d3b4_ContentBits">
    <vt:lpwstr>0</vt:lpwstr>
  </property>
</Properties>
</file>