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768B9F70-5337-48AF-834A-198127E20D18}" xr6:coauthVersionLast="47" xr6:coauthVersionMax="47" xr10:uidLastSave="{00000000-0000-0000-0000-000000000000}"/>
  <bookViews>
    <workbookView xWindow="-98" yWindow="-98" windowWidth="28996" windowHeight="15675" tabRatio="616" xr2:uid="{00000000-000D-0000-FFFF-FFFF00000000}"/>
  </bookViews>
  <sheets>
    <sheet name="I. Datos de entrada" sheetId="1" r:id="rId1"/>
    <sheet name="IIa. Balances de Potencia" sheetId="58" r:id="rId2"/>
    <sheet name="IIb. Balances de energía" sheetId="59" r:id="rId3"/>
    <sheet name="IIIa. Coeficientes Potencia" sheetId="61" r:id="rId4"/>
    <sheet name="IIIb. Coeficientes Energía" sheetId="60" r:id="rId5"/>
    <sheet name="IV. Metodología de asignación" sheetId="62" r:id="rId6"/>
    <sheet name="Va. Peajes transporte" sheetId="64" r:id="rId7"/>
    <sheet name="Vb. Peajes distribución" sheetId="65" r:id="rId8"/>
    <sheet name="VI. Diseño del Peaje 2.0 TD" sheetId="71" r:id="rId9"/>
    <sheet name="VII. Peajes T&amp;D" sheetId="66" r:id="rId10"/>
    <sheet name="VIII. Pagos autoconsumo próximo" sheetId="67" r:id="rId11"/>
    <sheet name="IX. Peajes VE" sheetId="72" r:id="rId12"/>
  </sheets>
  <definedNames>
    <definedName name="_Ref181078917" localSheetId="3">#REF!</definedName>
    <definedName name="_Ref181078917" localSheetId="7">#REF!</definedName>
    <definedName name="_Ref181078917">#REF!</definedName>
    <definedName name="_xlnm.Print_Area" localSheetId="2">'IIb. Balances de energía'!$A$6:$K$72</definedName>
    <definedName name="Cuotas2" localSheetId="3">#REF!</definedName>
    <definedName name="Cuotas2" localSheetId="7">#REF!</definedName>
    <definedName name="Cuotas2">#REF!</definedName>
    <definedName name="EURO">#REF!</definedName>
    <definedName name="gg" localSheetId="3">#REF!</definedName>
    <definedName name="gg" localSheetId="7">#REF!</definedName>
    <definedName name="gg">#REF!</definedName>
    <definedName name="tt" localSheetId="3">#REF!</definedName>
    <definedName name="tt" localSheetId="7">#REF!</definedName>
    <definedName name="t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83" i="72"/>
  <c r="C81" i="72"/>
  <c r="C14" i="1" l="1"/>
  <c r="I17" i="58"/>
  <c r="I61" i="58"/>
  <c r="F28" i="58"/>
  <c r="J27" i="58" s="1"/>
  <c r="D61" i="58"/>
  <c r="J58" i="58" s="1"/>
  <c r="I50" i="58"/>
  <c r="F17" i="58"/>
  <c r="J16" i="58" s="1"/>
  <c r="D39" i="58"/>
  <c r="J36" i="58" s="1"/>
  <c r="I39" i="58"/>
  <c r="D50" i="58"/>
  <c r="J47" i="58" s="1"/>
  <c r="C17" i="58"/>
  <c r="J13" i="58" s="1"/>
  <c r="D28" i="58"/>
  <c r="J25" i="58" s="1"/>
  <c r="I28" i="58"/>
  <c r="G17" i="58"/>
  <c r="H12" i="58" s="1"/>
  <c r="C28" i="58"/>
  <c r="J24" i="58" s="1"/>
  <c r="G28" i="58"/>
  <c r="H23" i="58" s="1"/>
  <c r="C39" i="58"/>
  <c r="J35" i="58" s="1"/>
  <c r="G39" i="58"/>
  <c r="H37" i="58" s="1"/>
  <c r="C50" i="58"/>
  <c r="J46" i="58" s="1"/>
  <c r="C61" i="58"/>
  <c r="J57" i="58" s="1"/>
  <c r="J67" i="58"/>
  <c r="F72" i="58"/>
  <c r="J71" i="58" s="1"/>
  <c r="D17" i="58"/>
  <c r="J14" i="58" s="1"/>
  <c r="C72" i="58"/>
  <c r="J68" i="58" s="1"/>
  <c r="E28" i="58"/>
  <c r="J26" i="58" s="1"/>
  <c r="E39" i="58"/>
  <c r="J37" i="58" s="1"/>
  <c r="E50" i="58"/>
  <c r="J48" i="58" s="1"/>
  <c r="E61" i="58"/>
  <c r="J59" i="58" s="1"/>
  <c r="D72" i="58"/>
  <c r="J69" i="58" s="1"/>
  <c r="I72" i="58"/>
  <c r="E17" i="58"/>
  <c r="J15" i="58" s="1"/>
  <c r="B17" i="58"/>
  <c r="J23" i="58"/>
  <c r="J34" i="58"/>
  <c r="F39" i="58"/>
  <c r="J38" i="58" s="1"/>
  <c r="B39" i="58"/>
  <c r="J45" i="58"/>
  <c r="F50" i="58"/>
  <c r="J49" i="58" s="1"/>
  <c r="J56" i="58"/>
  <c r="F61" i="58"/>
  <c r="J60" i="58" s="1"/>
  <c r="G61" i="58"/>
  <c r="H59" i="58" s="1"/>
  <c r="E72" i="58"/>
  <c r="J70" i="58" s="1"/>
  <c r="B72" i="58"/>
  <c r="H14" i="58"/>
  <c r="H13" i="58"/>
  <c r="J12" i="58"/>
  <c r="G50" i="58"/>
  <c r="H46" i="58" s="1"/>
  <c r="B61" i="58"/>
  <c r="B28" i="58"/>
  <c r="G72" i="58"/>
  <c r="H71" i="58" s="1"/>
  <c r="B50" i="58"/>
  <c r="H25" i="58" l="1"/>
  <c r="H16" i="58"/>
  <c r="H15" i="58"/>
  <c r="H26" i="58"/>
  <c r="H24" i="58"/>
  <c r="H27" i="58"/>
  <c r="H34" i="58"/>
  <c r="H57" i="58"/>
  <c r="H56" i="58"/>
  <c r="H35" i="58"/>
  <c r="H36" i="58"/>
  <c r="H58" i="58"/>
  <c r="H60" i="58"/>
  <c r="H68" i="58"/>
  <c r="H67" i="58"/>
  <c r="H38" i="58"/>
  <c r="H70" i="58"/>
  <c r="H49" i="58"/>
  <c r="H69" i="58"/>
  <c r="H45" i="58"/>
  <c r="H47" i="58"/>
  <c r="H48" i="58"/>
  <c r="H17" i="58" l="1"/>
  <c r="H28" i="58"/>
  <c r="H39" i="58"/>
  <c r="H72" i="58"/>
  <c r="H61" i="58"/>
  <c r="H50" i="58"/>
  <c r="C50" i="59" l="1"/>
  <c r="D50" i="59"/>
  <c r="J47" i="59" s="1"/>
  <c r="F72" i="59"/>
  <c r="E72" i="59"/>
  <c r="B28" i="59"/>
  <c r="I61" i="59"/>
  <c r="F39" i="59"/>
  <c r="J38" i="59" s="1"/>
  <c r="I17" i="59"/>
  <c r="E28" i="59"/>
  <c r="J26" i="59" s="1"/>
  <c r="F28" i="59"/>
  <c r="J27" i="59" s="1"/>
  <c r="B39" i="59"/>
  <c r="G50" i="59"/>
  <c r="H46" i="59" s="1"/>
  <c r="D61" i="59"/>
  <c r="J58" i="59" s="1"/>
  <c r="D17" i="59"/>
  <c r="J14" i="59" s="1"/>
  <c r="E17" i="59"/>
  <c r="J15" i="59" s="1"/>
  <c r="J23" i="59"/>
  <c r="C39" i="59"/>
  <c r="J35" i="59" s="1"/>
  <c r="G39" i="59"/>
  <c r="H35" i="59" s="1"/>
  <c r="I39" i="59"/>
  <c r="I50" i="59"/>
  <c r="E61" i="59"/>
  <c r="J59" i="59" s="1"/>
  <c r="J67" i="59"/>
  <c r="B17" i="59"/>
  <c r="F17" i="59"/>
  <c r="J16" i="59" s="1"/>
  <c r="C17" i="59"/>
  <c r="J13" i="59" s="1"/>
  <c r="C28" i="59"/>
  <c r="J24" i="59" s="1"/>
  <c r="G28" i="59"/>
  <c r="H26" i="59" s="1"/>
  <c r="D39" i="59"/>
  <c r="J36" i="59" s="1"/>
  <c r="E39" i="59"/>
  <c r="J37" i="59" s="1"/>
  <c r="E50" i="59"/>
  <c r="J48" i="59" s="1"/>
  <c r="J46" i="59"/>
  <c r="B61" i="59"/>
  <c r="F61" i="59"/>
  <c r="J60" i="59" s="1"/>
  <c r="C61" i="59"/>
  <c r="J57" i="59" s="1"/>
  <c r="C72" i="59"/>
  <c r="J68" i="59" s="1"/>
  <c r="J70" i="59"/>
  <c r="D28" i="59"/>
  <c r="J25" i="59" s="1"/>
  <c r="I28" i="59"/>
  <c r="B50" i="59"/>
  <c r="F50" i="59"/>
  <c r="J49" i="59" s="1"/>
  <c r="D72" i="59"/>
  <c r="J69" i="59" s="1"/>
  <c r="I72" i="59"/>
  <c r="J71" i="59"/>
  <c r="G17" i="59"/>
  <c r="H13" i="59" s="1"/>
  <c r="G61" i="59"/>
  <c r="B72" i="59"/>
  <c r="J45" i="59"/>
  <c r="G72" i="59"/>
  <c r="H68" i="59" s="1"/>
  <c r="J12" i="59"/>
  <c r="J56" i="59"/>
  <c r="J34" i="59"/>
  <c r="H34" i="59" l="1"/>
  <c r="H38" i="59"/>
  <c r="H23" i="59"/>
  <c r="H45" i="59"/>
  <c r="H25" i="59"/>
  <c r="H48" i="59"/>
  <c r="H49" i="59"/>
  <c r="H47" i="59"/>
  <c r="H36" i="59"/>
  <c r="H37" i="59"/>
  <c r="H67" i="59"/>
  <c r="H24" i="59"/>
  <c r="H27" i="59"/>
  <c r="H15" i="59"/>
  <c r="H69" i="59"/>
  <c r="H70" i="59"/>
  <c r="H60" i="59"/>
  <c r="H56" i="59"/>
  <c r="H58" i="59"/>
  <c r="H59" i="59"/>
  <c r="H16" i="59"/>
  <c r="H12" i="59"/>
  <c r="H57" i="59"/>
  <c r="H71" i="59"/>
  <c r="H14" i="59"/>
  <c r="H39" i="59" l="1"/>
  <c r="H50" i="59"/>
  <c r="H28" i="59"/>
  <c r="H72" i="59"/>
  <c r="H61" i="59"/>
  <c r="H17" i="59"/>
  <c r="F86" i="1" l="1"/>
  <c r="N33" i="66" l="1"/>
  <c r="M33" i="66"/>
  <c r="L33" i="66"/>
  <c r="G33" i="66"/>
  <c r="F33" i="66"/>
  <c r="E33" i="66"/>
  <c r="D33" i="66"/>
  <c r="C106" i="1" l="1"/>
  <c r="F120" i="1"/>
  <c r="C113" i="1" l="1"/>
  <c r="E120" i="1"/>
  <c r="D120" i="1"/>
  <c r="G120" i="1"/>
  <c r="D81" i="1" l="1"/>
  <c r="F81" i="1"/>
  <c r="B81" i="1"/>
  <c r="E81" i="1"/>
  <c r="C81" i="1"/>
  <c r="C127" i="1" l="1"/>
  <c r="G127" i="1"/>
  <c r="D127" i="1"/>
  <c r="H127" i="1"/>
  <c r="E127" i="1"/>
  <c r="F127" i="1"/>
  <c r="I19" i="61"/>
  <c r="I15" i="61"/>
  <c r="D15" i="61"/>
  <c r="I20" i="61" l="1"/>
  <c r="I26" i="66"/>
  <c r="J26" i="66"/>
  <c r="K26" i="66"/>
  <c r="L26" i="66"/>
  <c r="M26" i="66"/>
  <c r="N26" i="66"/>
  <c r="B26" i="66"/>
  <c r="C26" i="66"/>
  <c r="D26" i="66"/>
  <c r="E26" i="66"/>
  <c r="F26" i="66"/>
  <c r="G26" i="66"/>
  <c r="C47" i="72" l="1"/>
  <c r="C15" i="72"/>
  <c r="C13" i="72"/>
  <c r="B46" i="71" l="1"/>
  <c r="B45" i="71"/>
  <c r="B44" i="71" l="1"/>
  <c r="D106" i="1"/>
  <c r="G106" i="1"/>
  <c r="I105" i="1"/>
  <c r="H106" i="1"/>
  <c r="E106" i="1"/>
  <c r="F106" i="1"/>
  <c r="F15" i="61" l="1"/>
  <c r="B11" i="71"/>
  <c r="G19" i="61"/>
  <c r="D15" i="60"/>
  <c r="H15" i="60"/>
  <c r="F19" i="61"/>
  <c r="G15" i="61"/>
  <c r="H12" i="61"/>
  <c r="D19" i="60"/>
  <c r="H15" i="61"/>
  <c r="F15" i="60"/>
  <c r="E15" i="60"/>
  <c r="I15" i="60"/>
  <c r="F11" i="71"/>
  <c r="G11" i="71"/>
  <c r="C11" i="71"/>
  <c r="E11" i="71"/>
  <c r="D11" i="71"/>
  <c r="I106" i="1"/>
  <c r="D20" i="60" l="1"/>
  <c r="I20" i="60"/>
  <c r="H20" i="60"/>
  <c r="F20" i="61"/>
  <c r="E20" i="60"/>
  <c r="F20" i="60"/>
  <c r="G20" i="61"/>
  <c r="E15" i="61"/>
  <c r="H16" i="61"/>
  <c r="H19" i="62"/>
  <c r="G19" i="62"/>
  <c r="F19" i="62"/>
  <c r="E19" i="62"/>
  <c r="D19" i="62"/>
  <c r="H21" i="61" l="1"/>
  <c r="C49" i="72"/>
  <c r="B25" i="71" l="1"/>
  <c r="D25" i="71"/>
  <c r="E27" i="71"/>
  <c r="G26" i="71"/>
  <c r="C26" i="71"/>
  <c r="G25" i="71"/>
  <c r="C25" i="71"/>
  <c r="D27" i="71"/>
  <c r="F26" i="71"/>
  <c r="B26" i="71"/>
  <c r="F25" i="71"/>
  <c r="G27" i="71"/>
  <c r="C27" i="71"/>
  <c r="E26" i="71"/>
  <c r="E25" i="71"/>
  <c r="F27" i="71"/>
  <c r="B27" i="71"/>
  <c r="D26" i="71"/>
  <c r="C28" i="71" l="1"/>
  <c r="D28" i="71"/>
  <c r="G28" i="71"/>
  <c r="F28" i="71"/>
  <c r="B28" i="71"/>
  <c r="E28" i="71"/>
  <c r="C105" i="66"/>
  <c r="H85" i="62" l="1"/>
  <c r="G85" i="62"/>
  <c r="F85" i="62"/>
  <c r="E85" i="62"/>
  <c r="D85" i="62"/>
  <c r="C85" i="62"/>
  <c r="D65" i="62"/>
  <c r="E65" i="62"/>
  <c r="F65" i="62"/>
  <c r="G65" i="62"/>
  <c r="H65" i="62"/>
  <c r="C65" i="62"/>
  <c r="H22" i="62"/>
  <c r="G22" i="62"/>
  <c r="F22" i="62"/>
  <c r="E22" i="62"/>
  <c r="D22" i="62"/>
  <c r="E11" i="61" l="1"/>
  <c r="D20" i="61"/>
  <c r="E10" i="61"/>
  <c r="D10" i="61"/>
  <c r="I12" i="60"/>
  <c r="I11" i="60"/>
  <c r="H10" i="61"/>
  <c r="I10" i="61"/>
  <c r="H10" i="60"/>
  <c r="F10" i="60"/>
  <c r="G10" i="60"/>
  <c r="D19" i="61"/>
  <c r="D12" i="61"/>
  <c r="E19" i="61"/>
  <c r="E12" i="61"/>
  <c r="H11" i="61"/>
  <c r="I10" i="60"/>
  <c r="I11" i="61"/>
  <c r="F10" i="61"/>
  <c r="I12" i="61"/>
  <c r="H19" i="61"/>
  <c r="F11" i="61"/>
  <c r="D11" i="61"/>
  <c r="E10" i="60"/>
  <c r="H12" i="60"/>
  <c r="H19" i="60"/>
  <c r="G12" i="60"/>
  <c r="H11" i="60"/>
  <c r="I19" i="60"/>
  <c r="F11" i="60"/>
  <c r="G11" i="60"/>
  <c r="G15" i="60"/>
  <c r="F19" i="60"/>
  <c r="G19" i="60"/>
  <c r="F12" i="60"/>
  <c r="D10" i="60"/>
  <c r="D11" i="60"/>
  <c r="E19" i="60"/>
  <c r="E12" i="60"/>
  <c r="E11" i="60"/>
  <c r="D12" i="60"/>
  <c r="I14" i="60" l="1"/>
  <c r="E14" i="60"/>
  <c r="G20" i="60"/>
  <c r="H14" i="60"/>
  <c r="F14" i="60"/>
  <c r="D14" i="60"/>
  <c r="G14" i="60"/>
  <c r="I16" i="61"/>
  <c r="I16" i="60"/>
  <c r="D16" i="61"/>
  <c r="H14" i="61"/>
  <c r="E16" i="61"/>
  <c r="F16" i="60"/>
  <c r="H13" i="61"/>
  <c r="E13" i="61"/>
  <c r="G16" i="60"/>
  <c r="D16" i="60"/>
  <c r="E16" i="60"/>
  <c r="H16" i="60"/>
  <c r="D88" i="62"/>
  <c r="H95" i="62"/>
  <c r="D86" i="62"/>
  <c r="C68" i="62"/>
  <c r="H88" i="62"/>
  <c r="C71" i="62"/>
  <c r="D67" i="62"/>
  <c r="D95" i="62"/>
  <c r="E91" i="62"/>
  <c r="G95" i="62"/>
  <c r="G75" i="62"/>
  <c r="E66" i="62"/>
  <c r="D75" i="62"/>
  <c r="F86" i="62"/>
  <c r="H66" i="62"/>
  <c r="F91" i="62"/>
  <c r="G88" i="62"/>
  <c r="G66" i="62"/>
  <c r="C66" i="62"/>
  <c r="E95" i="62"/>
  <c r="D87" i="62"/>
  <c r="E88" i="62"/>
  <c r="D91" i="62"/>
  <c r="E67" i="62"/>
  <c r="G68" i="62"/>
  <c r="H75" i="62"/>
  <c r="D68" i="62"/>
  <c r="F95" i="62"/>
  <c r="F87" i="62"/>
  <c r="F88" i="62"/>
  <c r="H68" i="62"/>
  <c r="H87" i="62"/>
  <c r="D66" i="62"/>
  <c r="C76" i="62"/>
  <c r="C75" i="62"/>
  <c r="F12" i="61"/>
  <c r="E14" i="61"/>
  <c r="D13" i="61"/>
  <c r="E13" i="60"/>
  <c r="I13" i="61"/>
  <c r="E87" i="62"/>
  <c r="I13" i="60"/>
  <c r="H86" i="62"/>
  <c r="F13" i="60"/>
  <c r="E86" i="62"/>
  <c r="G13" i="60"/>
  <c r="G91" i="62"/>
  <c r="H91" i="62"/>
  <c r="G87" i="62"/>
  <c r="H13" i="60"/>
  <c r="G86" i="62"/>
  <c r="H71" i="62"/>
  <c r="G67" i="62"/>
  <c r="E20" i="61"/>
  <c r="D71" i="62"/>
  <c r="H20" i="61"/>
  <c r="G71" i="62"/>
  <c r="D14" i="61"/>
  <c r="C67" i="62"/>
  <c r="I14" i="61"/>
  <c r="H67" i="62"/>
  <c r="C91" i="62"/>
  <c r="C86" i="62"/>
  <c r="C88" i="62"/>
  <c r="C95" i="62"/>
  <c r="C87" i="62"/>
  <c r="F13" i="61"/>
  <c r="F14" i="61"/>
  <c r="D13" i="60"/>
  <c r="I18" i="61" l="1"/>
  <c r="H21" i="60"/>
  <c r="H18" i="61"/>
  <c r="E17" i="60"/>
  <c r="E21" i="60"/>
  <c r="F18" i="60"/>
  <c r="H17" i="60"/>
  <c r="G17" i="60"/>
  <c r="I17" i="60"/>
  <c r="D21" i="60"/>
  <c r="F21" i="60"/>
  <c r="I21" i="60"/>
  <c r="F17" i="60"/>
  <c r="I17" i="61"/>
  <c r="G18" i="60"/>
  <c r="I18" i="60"/>
  <c r="D18" i="61"/>
  <c r="D17" i="60"/>
  <c r="E18" i="61"/>
  <c r="G21" i="60"/>
  <c r="I21" i="61"/>
  <c r="D18" i="60"/>
  <c r="H18" i="60"/>
  <c r="E18" i="60"/>
  <c r="H17" i="61"/>
  <c r="F17" i="61"/>
  <c r="F16" i="61"/>
  <c r="F18" i="61"/>
  <c r="D17" i="61"/>
  <c r="E17" i="61"/>
  <c r="D69" i="62"/>
  <c r="G70" i="62"/>
  <c r="G96" i="62"/>
  <c r="C69" i="62"/>
  <c r="D96" i="62"/>
  <c r="E96" i="62"/>
  <c r="G77" i="62"/>
  <c r="G72" i="62"/>
  <c r="G76" i="62"/>
  <c r="G90" i="62"/>
  <c r="H96" i="62"/>
  <c r="F89" i="62"/>
  <c r="H89" i="62"/>
  <c r="H69" i="62"/>
  <c r="G69" i="62"/>
  <c r="D70" i="62"/>
  <c r="D90" i="62"/>
  <c r="E70" i="62"/>
  <c r="G89" i="62"/>
  <c r="H70" i="62"/>
  <c r="F96" i="62"/>
  <c r="H90" i="62"/>
  <c r="D89" i="62"/>
  <c r="C72" i="62"/>
  <c r="E68" i="62"/>
  <c r="F90" i="62"/>
  <c r="E69" i="62"/>
  <c r="D76" i="62"/>
  <c r="H76" i="62"/>
  <c r="E89" i="62"/>
  <c r="E90" i="62"/>
  <c r="H72" i="62"/>
  <c r="D21" i="61"/>
  <c r="C70" i="62"/>
  <c r="E21" i="61"/>
  <c r="D72" i="62"/>
  <c r="F92" i="62"/>
  <c r="C92" i="62"/>
  <c r="D92" i="62"/>
  <c r="C89" i="62"/>
  <c r="H92" i="62"/>
  <c r="C90" i="62"/>
  <c r="E92" i="62"/>
  <c r="C96" i="62"/>
  <c r="G92" i="62"/>
  <c r="G10" i="61"/>
  <c r="G12" i="61"/>
  <c r="G11" i="61"/>
  <c r="E23" i="61" l="1"/>
  <c r="H23" i="61"/>
  <c r="I23" i="61"/>
  <c r="F23" i="61"/>
  <c r="H23" i="60"/>
  <c r="D23" i="61"/>
  <c r="I22" i="60"/>
  <c r="H22" i="60"/>
  <c r="E23" i="60"/>
  <c r="D23" i="60"/>
  <c r="D22" i="60"/>
  <c r="I23" i="60"/>
  <c r="I22" i="61"/>
  <c r="G22" i="60"/>
  <c r="F23" i="60"/>
  <c r="E22" i="60"/>
  <c r="G23" i="60"/>
  <c r="F22" i="60"/>
  <c r="G16" i="61"/>
  <c r="D22" i="61"/>
  <c r="C73" i="62"/>
  <c r="F21" i="61"/>
  <c r="E73" i="62"/>
  <c r="F68" i="62"/>
  <c r="G74" i="62"/>
  <c r="E22" i="61"/>
  <c r="F71" i="62"/>
  <c r="D77" i="62"/>
  <c r="H22" i="61"/>
  <c r="H73" i="62"/>
  <c r="H77" i="62"/>
  <c r="C77" i="62"/>
  <c r="D73" i="62"/>
  <c r="G73" i="62"/>
  <c r="G14" i="61"/>
  <c r="F67" i="62"/>
  <c r="D74" i="62"/>
  <c r="G13" i="61"/>
  <c r="F66" i="62"/>
  <c r="C74" i="62"/>
  <c r="H74" i="62"/>
  <c r="H94" i="62"/>
  <c r="C93" i="62"/>
  <c r="G94" i="62"/>
  <c r="E94" i="62"/>
  <c r="C97" i="62"/>
  <c r="G97" i="62"/>
  <c r="G93" i="62"/>
  <c r="F93" i="62"/>
  <c r="D97" i="62"/>
  <c r="C94" i="62"/>
  <c r="E97" i="62"/>
  <c r="H93" i="62"/>
  <c r="D94" i="62"/>
  <c r="F97" i="62"/>
  <c r="F94" i="62"/>
  <c r="E93" i="62"/>
  <c r="D93" i="62"/>
  <c r="H97" i="62"/>
  <c r="F22" i="61"/>
  <c r="C78" i="62" l="1"/>
  <c r="G18" i="61"/>
  <c r="F72" i="62"/>
  <c r="G17" i="61"/>
  <c r="G21" i="61"/>
  <c r="D98" i="62"/>
  <c r="F75" i="62"/>
  <c r="F76" i="62"/>
  <c r="H79" i="62"/>
  <c r="F69" i="62"/>
  <c r="F70" i="62"/>
  <c r="E75" i="62"/>
  <c r="E78" i="62"/>
  <c r="G78" i="62"/>
  <c r="D78" i="62"/>
  <c r="D79" i="62"/>
  <c r="G79" i="62"/>
  <c r="H78" i="62"/>
  <c r="C79" i="62"/>
  <c r="E71" i="62"/>
  <c r="E72" i="62"/>
  <c r="E74" i="62"/>
  <c r="G99" i="62"/>
  <c r="C99" i="62"/>
  <c r="H99" i="62"/>
  <c r="E99" i="62"/>
  <c r="F99" i="62"/>
  <c r="E98" i="62"/>
  <c r="G98" i="62"/>
  <c r="D99" i="62"/>
  <c r="F98" i="62"/>
  <c r="C98" i="62"/>
  <c r="H98" i="62"/>
  <c r="E37" i="62"/>
  <c r="G22" i="61" l="1"/>
  <c r="G23" i="61"/>
  <c r="F74" i="62"/>
  <c r="F77" i="62"/>
  <c r="F73" i="62"/>
  <c r="B50" i="62"/>
  <c r="E79" i="62"/>
  <c r="E76" i="62"/>
  <c r="E77" i="62"/>
  <c r="F78" i="62" l="1"/>
  <c r="F79" i="62"/>
  <c r="E11" i="62"/>
  <c r="H11" i="62"/>
  <c r="G11" i="62"/>
  <c r="F11" i="62"/>
  <c r="F38" i="62" l="1"/>
  <c r="B34" i="62" l="1"/>
  <c r="B36" i="62" l="1"/>
  <c r="C38" i="62"/>
  <c r="D36" i="62"/>
  <c r="E34" i="62"/>
  <c r="E39" i="62"/>
  <c r="F37" i="62"/>
  <c r="B37" i="62"/>
  <c r="C35" i="62"/>
  <c r="C39" i="62"/>
  <c r="D37" i="62"/>
  <c r="E35" i="62"/>
  <c r="F34" i="62"/>
  <c r="F39" i="62"/>
  <c r="C34" i="62"/>
  <c r="B38" i="62"/>
  <c r="C36" i="62"/>
  <c r="D34" i="62"/>
  <c r="D38" i="62"/>
  <c r="E36" i="62"/>
  <c r="F35" i="62"/>
  <c r="B35" i="62"/>
  <c r="B39" i="62"/>
  <c r="C37" i="62"/>
  <c r="D35" i="62"/>
  <c r="D39" i="62"/>
  <c r="E38" i="62"/>
  <c r="F36" i="62"/>
  <c r="F41" i="62" l="1"/>
  <c r="B41" i="62"/>
  <c r="E41" i="62"/>
  <c r="C41" i="62"/>
  <c r="D41" i="62"/>
  <c r="C63" i="1" l="1"/>
  <c r="D63" i="1" s="1"/>
  <c r="C62" i="1"/>
  <c r="D62" i="1" s="1"/>
  <c r="C61" i="1"/>
  <c r="D61" i="1" s="1"/>
  <c r="C60" i="1"/>
  <c r="D60" i="1" s="1"/>
  <c r="C59" i="1"/>
  <c r="D59" i="1" s="1"/>
  <c r="B51" i="1"/>
  <c r="F55" i="62" l="1"/>
  <c r="F51" i="62"/>
  <c r="E54" i="62"/>
  <c r="E50" i="62"/>
  <c r="D54" i="62"/>
  <c r="D50" i="62"/>
  <c r="C54" i="62"/>
  <c r="C50" i="62"/>
  <c r="B54" i="62"/>
  <c r="F54" i="62"/>
  <c r="F50" i="62"/>
  <c r="E53" i="62"/>
  <c r="D53" i="62"/>
  <c r="C53" i="62"/>
  <c r="B53" i="62"/>
  <c r="F53" i="62"/>
  <c r="E52" i="62"/>
  <c r="D52" i="62"/>
  <c r="C52" i="62"/>
  <c r="B52" i="62"/>
  <c r="F52" i="62"/>
  <c r="E55" i="62"/>
  <c r="E51" i="62"/>
  <c r="D55" i="62"/>
  <c r="D51" i="62"/>
  <c r="C55" i="62"/>
  <c r="C51" i="62"/>
  <c r="B55" i="62"/>
  <c r="B51" i="62"/>
  <c r="F57" i="62" l="1"/>
  <c r="C57" i="62"/>
  <c r="E57" i="62"/>
  <c r="D57" i="62"/>
  <c r="B57" i="62"/>
  <c r="F97" i="1"/>
  <c r="B97" i="1"/>
  <c r="E97" i="1"/>
  <c r="D97" i="1"/>
  <c r="C97" i="1"/>
  <c r="F25" i="64" l="1"/>
  <c r="C25" i="64"/>
  <c r="D25" i="64"/>
  <c r="E25" i="64"/>
  <c r="G25" i="64"/>
  <c r="C24" i="64" l="1"/>
  <c r="C24" i="65"/>
  <c r="D24" i="65"/>
  <c r="D24" i="64"/>
  <c r="C24" i="67"/>
  <c r="J25" i="64"/>
  <c r="B24" i="67"/>
  <c r="I25" i="64"/>
  <c r="G24" i="65"/>
  <c r="G24" i="64"/>
  <c r="L25" i="64"/>
  <c r="E24" i="67"/>
  <c r="E24" i="64"/>
  <c r="E24" i="65"/>
  <c r="B25" i="64"/>
  <c r="M25" i="64" l="1"/>
  <c r="F24" i="67"/>
  <c r="I111" i="1"/>
  <c r="G24" i="67"/>
  <c r="N25" i="64"/>
  <c r="F24" i="64"/>
  <c r="F24" i="65"/>
  <c r="B24" i="64"/>
  <c r="B24" i="65"/>
  <c r="D24" i="67"/>
  <c r="K25" i="64"/>
  <c r="J105" i="66" l="1"/>
  <c r="B21" i="65"/>
  <c r="B21" i="64"/>
  <c r="E21" i="64"/>
  <c r="G21" i="65"/>
  <c r="C21" i="65"/>
  <c r="C21" i="64"/>
  <c r="F21" i="64"/>
  <c r="D21" i="64"/>
  <c r="F21" i="65" l="1"/>
  <c r="G21" i="64"/>
  <c r="D21" i="65"/>
  <c r="E21" i="65"/>
  <c r="L24" i="64" l="1"/>
  <c r="L24" i="65"/>
  <c r="E23" i="67"/>
  <c r="M24" i="64"/>
  <c r="F23" i="67"/>
  <c r="M24" i="65"/>
  <c r="J24" i="65"/>
  <c r="J24" i="64"/>
  <c r="C23" i="67"/>
  <c r="N24" i="65"/>
  <c r="G23" i="67"/>
  <c r="N24" i="64"/>
  <c r="K24" i="64"/>
  <c r="K24" i="65"/>
  <c r="D23" i="67"/>
  <c r="I110" i="1"/>
  <c r="I24" i="65"/>
  <c r="I24" i="64"/>
  <c r="B23" i="67"/>
  <c r="B20" i="67" l="1"/>
  <c r="C20" i="67"/>
  <c r="D20" i="67"/>
  <c r="J21" i="65" l="1"/>
  <c r="J21" i="64"/>
  <c r="I21" i="65"/>
  <c r="I21" i="64"/>
  <c r="K21" i="65"/>
  <c r="K21" i="64"/>
  <c r="E20" i="67"/>
  <c r="G20" i="67"/>
  <c r="F20" i="67"/>
  <c r="N21" i="65" l="1"/>
  <c r="N21" i="64"/>
  <c r="M21" i="65"/>
  <c r="M21" i="64"/>
  <c r="L21" i="64"/>
  <c r="L21" i="65"/>
  <c r="I107" i="1"/>
  <c r="C23" i="64" l="1"/>
  <c r="C23" i="65"/>
  <c r="G23" i="65"/>
  <c r="G23" i="64"/>
  <c r="B23" i="65"/>
  <c r="B23" i="64"/>
  <c r="D23" i="65" l="1"/>
  <c r="D23" i="64"/>
  <c r="G22" i="67" l="1"/>
  <c r="N23" i="65"/>
  <c r="N23" i="64"/>
  <c r="E23" i="64"/>
  <c r="E23" i="65"/>
  <c r="D22" i="67"/>
  <c r="K23" i="65"/>
  <c r="K23" i="64"/>
  <c r="L23" i="64"/>
  <c r="E22" i="67"/>
  <c r="L23" i="65"/>
  <c r="F22" i="67"/>
  <c r="M23" i="65"/>
  <c r="M23" i="64"/>
  <c r="I23" i="64"/>
  <c r="I23" i="65"/>
  <c r="I109" i="1"/>
  <c r="B22" i="67"/>
  <c r="J23" i="65"/>
  <c r="J23" i="64"/>
  <c r="C22" i="67"/>
  <c r="F23" i="65" l="1"/>
  <c r="F23" i="64"/>
  <c r="C22" i="65" l="1"/>
  <c r="C22" i="64"/>
  <c r="G22" i="64"/>
  <c r="G22" i="65"/>
  <c r="B22" i="65"/>
  <c r="B22" i="64"/>
  <c r="I22" i="65" l="1"/>
  <c r="B21" i="67"/>
  <c r="I22" i="64"/>
  <c r="E113" i="1"/>
  <c r="D22" i="65"/>
  <c r="D22" i="64"/>
  <c r="C21" i="67" l="1"/>
  <c r="J22" i="64"/>
  <c r="J22" i="65"/>
  <c r="D113" i="1"/>
  <c r="E22" i="64"/>
  <c r="E22" i="65"/>
  <c r="D21" i="67"/>
  <c r="K22" i="65"/>
  <c r="K22" i="64"/>
  <c r="N22" i="64"/>
  <c r="N22" i="65"/>
  <c r="G21" i="67"/>
  <c r="H113" i="1"/>
  <c r="L22" i="64"/>
  <c r="L22" i="65"/>
  <c r="E21" i="67"/>
  <c r="F113" i="1"/>
  <c r="I26" i="64"/>
  <c r="M22" i="64"/>
  <c r="M22" i="65"/>
  <c r="F21" i="67"/>
  <c r="G113" i="1"/>
  <c r="I108" i="1"/>
  <c r="I113" i="1" l="1"/>
  <c r="M26" i="64"/>
  <c r="L26" i="64"/>
  <c r="F22" i="64"/>
  <c r="F22" i="65"/>
  <c r="K26" i="64"/>
  <c r="J26" i="64"/>
  <c r="N26" i="64"/>
  <c r="D10" i="62" l="1"/>
  <c r="D20" i="62" l="1"/>
  <c r="D23" i="62"/>
  <c r="L52" i="62" l="1"/>
  <c r="L51" i="62"/>
  <c r="L53" i="62"/>
  <c r="L54" i="62"/>
  <c r="L55" i="62"/>
  <c r="L50" i="62"/>
  <c r="L38" i="62"/>
  <c r="L36" i="62"/>
  <c r="L39" i="62"/>
  <c r="L35" i="62"/>
  <c r="L37" i="62"/>
  <c r="L34" i="62"/>
  <c r="N77" i="62" l="1"/>
  <c r="F15" i="64" s="1"/>
  <c r="F31" i="64" s="1"/>
  <c r="N76" i="62"/>
  <c r="F16" i="64" s="1"/>
  <c r="F32" i="64" s="1"/>
  <c r="N79" i="62"/>
  <c r="F13" i="64" s="1"/>
  <c r="F29" i="64" s="1"/>
  <c r="N75" i="62"/>
  <c r="F17" i="64" s="1"/>
  <c r="F33" i="64" s="1"/>
  <c r="N78" i="62"/>
  <c r="F14" i="64" s="1"/>
  <c r="F30" i="64" s="1"/>
  <c r="J97" i="62"/>
  <c r="I15" i="64" s="1"/>
  <c r="I31" i="64" s="1"/>
  <c r="J95" i="62"/>
  <c r="J96" i="62"/>
  <c r="I16" i="64" s="1"/>
  <c r="I32" i="64" s="1"/>
  <c r="J98" i="62"/>
  <c r="I14" i="64" s="1"/>
  <c r="I30" i="64" s="1"/>
  <c r="L57" i="62"/>
  <c r="J99" i="62"/>
  <c r="I13" i="64" s="1"/>
  <c r="J77" i="62"/>
  <c r="B15" i="64" s="1"/>
  <c r="B31" i="64" s="1"/>
  <c r="J78" i="62"/>
  <c r="B14" i="64" s="1"/>
  <c r="B30" i="64" s="1"/>
  <c r="J75" i="62"/>
  <c r="B17" i="64" s="1"/>
  <c r="B33" i="64" s="1"/>
  <c r="L41" i="62"/>
  <c r="J79" i="62"/>
  <c r="B13" i="64" s="1"/>
  <c r="B29" i="64" s="1"/>
  <c r="J76" i="62"/>
  <c r="B16" i="64" s="1"/>
  <c r="B32" i="64" s="1"/>
  <c r="O98" i="62"/>
  <c r="N14" i="64" s="1"/>
  <c r="N30" i="64" s="1"/>
  <c r="O99" i="62"/>
  <c r="N13" i="64" s="1"/>
  <c r="N29" i="64" s="1"/>
  <c r="O96" i="62"/>
  <c r="N16" i="64" s="1"/>
  <c r="N32" i="64" s="1"/>
  <c r="O97" i="62"/>
  <c r="N15" i="64" s="1"/>
  <c r="N31" i="64" s="1"/>
  <c r="O95" i="62"/>
  <c r="M77" i="62"/>
  <c r="E15" i="64" s="1"/>
  <c r="E31" i="64" s="1"/>
  <c r="M75" i="62"/>
  <c r="E17" i="64" s="1"/>
  <c r="E33" i="64" s="1"/>
  <c r="M76" i="62"/>
  <c r="E16" i="64" s="1"/>
  <c r="E32" i="64" s="1"/>
  <c r="M78" i="62"/>
  <c r="E14" i="64" s="1"/>
  <c r="E30" i="64" s="1"/>
  <c r="M79" i="62"/>
  <c r="E13" i="64" s="1"/>
  <c r="E29" i="64" s="1"/>
  <c r="N97" i="62"/>
  <c r="M15" i="64" s="1"/>
  <c r="M31" i="64" s="1"/>
  <c r="N95" i="62"/>
  <c r="N99" i="62"/>
  <c r="M13" i="64" s="1"/>
  <c r="M29" i="64" s="1"/>
  <c r="N98" i="62"/>
  <c r="M14" i="64" s="1"/>
  <c r="M30" i="64" s="1"/>
  <c r="N96" i="62"/>
  <c r="M16" i="64" s="1"/>
  <c r="M32" i="64" s="1"/>
  <c r="K76" i="62"/>
  <c r="C16" i="64" s="1"/>
  <c r="C32" i="64" s="1"/>
  <c r="K75" i="62"/>
  <c r="C17" i="64" s="1"/>
  <c r="C33" i="64" s="1"/>
  <c r="K78" i="62"/>
  <c r="C14" i="64" s="1"/>
  <c r="C30" i="64" s="1"/>
  <c r="K79" i="62"/>
  <c r="C13" i="64" s="1"/>
  <c r="C29" i="64" s="1"/>
  <c r="K77" i="62"/>
  <c r="C15" i="64" s="1"/>
  <c r="C31" i="64" s="1"/>
  <c r="M98" i="62"/>
  <c r="L14" i="64" s="1"/>
  <c r="L30" i="64" s="1"/>
  <c r="M96" i="62"/>
  <c r="L16" i="64" s="1"/>
  <c r="L32" i="64" s="1"/>
  <c r="M95" i="62"/>
  <c r="M97" i="62"/>
  <c r="L15" i="64" s="1"/>
  <c r="L31" i="64" s="1"/>
  <c r="M99" i="62"/>
  <c r="L13" i="64" s="1"/>
  <c r="L29" i="64" s="1"/>
  <c r="O75" i="62"/>
  <c r="G17" i="64" s="1"/>
  <c r="G33" i="64" s="1"/>
  <c r="O76" i="62"/>
  <c r="G16" i="64" s="1"/>
  <c r="G32" i="64" s="1"/>
  <c r="O77" i="62"/>
  <c r="G15" i="64" s="1"/>
  <c r="G31" i="64" s="1"/>
  <c r="O78" i="62"/>
  <c r="G14" i="64" s="1"/>
  <c r="G30" i="64" s="1"/>
  <c r="O79" i="62"/>
  <c r="G13" i="64" s="1"/>
  <c r="G29" i="64" s="1"/>
  <c r="K96" i="62"/>
  <c r="J16" i="64" s="1"/>
  <c r="J32" i="64" s="1"/>
  <c r="K99" i="62"/>
  <c r="J13" i="64" s="1"/>
  <c r="J29" i="64" s="1"/>
  <c r="K98" i="62"/>
  <c r="J14" i="64" s="1"/>
  <c r="J30" i="64" s="1"/>
  <c r="K97" i="62"/>
  <c r="J15" i="64" s="1"/>
  <c r="J31" i="64" s="1"/>
  <c r="K95" i="62"/>
  <c r="L75" i="62"/>
  <c r="D17" i="64" s="1"/>
  <c r="D33" i="64" s="1"/>
  <c r="L77" i="62"/>
  <c r="D15" i="64" s="1"/>
  <c r="D31" i="64" s="1"/>
  <c r="L76" i="62"/>
  <c r="D16" i="64" s="1"/>
  <c r="D32" i="64" s="1"/>
  <c r="L79" i="62"/>
  <c r="D13" i="64" s="1"/>
  <c r="D29" i="64" s="1"/>
  <c r="L78" i="62"/>
  <c r="D14" i="64" s="1"/>
  <c r="D30" i="64" s="1"/>
  <c r="L97" i="62"/>
  <c r="K15" i="64" s="1"/>
  <c r="K31" i="64" s="1"/>
  <c r="L99" i="62"/>
  <c r="K13" i="64" s="1"/>
  <c r="K29" i="64" s="1"/>
  <c r="L98" i="62"/>
  <c r="K14" i="64" s="1"/>
  <c r="K30" i="64" s="1"/>
  <c r="L96" i="62"/>
  <c r="K16" i="64" s="1"/>
  <c r="K32" i="64" s="1"/>
  <c r="L95" i="62"/>
  <c r="G43" i="64" l="1"/>
  <c r="G73" i="64"/>
  <c r="D80" i="64"/>
  <c r="D69" i="64"/>
  <c r="D39" i="64"/>
  <c r="D16" i="67"/>
  <c r="K17" i="64"/>
  <c r="K33" i="64" s="1"/>
  <c r="K72" i="64" s="1"/>
  <c r="D41" i="64"/>
  <c r="D82" i="64"/>
  <c r="D71" i="64"/>
  <c r="J42" i="64"/>
  <c r="J83" i="64"/>
  <c r="C40" i="64"/>
  <c r="C70" i="64"/>
  <c r="C81" i="64"/>
  <c r="M42" i="64"/>
  <c r="M83" i="64"/>
  <c r="E43" i="64"/>
  <c r="E84" i="64"/>
  <c r="E73" i="64"/>
  <c r="G16" i="67"/>
  <c r="G32" i="67" s="1"/>
  <c r="N17" i="64"/>
  <c r="N33" i="64" s="1"/>
  <c r="N70" i="64" s="1"/>
  <c r="B84" i="64"/>
  <c r="B73" i="64"/>
  <c r="B43" i="64"/>
  <c r="I42" i="64"/>
  <c r="I83" i="64"/>
  <c r="F84" i="64"/>
  <c r="F73" i="64"/>
  <c r="F43" i="64"/>
  <c r="G84" i="64"/>
  <c r="K83" i="64"/>
  <c r="K42" i="64"/>
  <c r="G39" i="64"/>
  <c r="G69" i="64"/>
  <c r="L39" i="64"/>
  <c r="L80" i="64"/>
  <c r="L79" i="64"/>
  <c r="E15" i="71" s="1"/>
  <c r="E20" i="71" s="1"/>
  <c r="C43" i="64"/>
  <c r="C73" i="64"/>
  <c r="C84" i="64"/>
  <c r="M40" i="64"/>
  <c r="M81" i="64"/>
  <c r="E41" i="64"/>
  <c r="E82" i="64"/>
  <c r="E87" i="72" s="1"/>
  <c r="E71" i="64"/>
  <c r="N82" i="64"/>
  <c r="M87" i="72" s="1"/>
  <c r="N41" i="64"/>
  <c r="B70" i="64"/>
  <c r="B40" i="64"/>
  <c r="B81" i="64"/>
  <c r="I17" i="64"/>
  <c r="I33" i="64" s="1"/>
  <c r="I72" i="64" s="1"/>
  <c r="B16" i="67"/>
  <c r="F69" i="64"/>
  <c r="G80" i="64"/>
  <c r="F80" i="64"/>
  <c r="F39" i="64"/>
  <c r="D43" i="64"/>
  <c r="D84" i="64"/>
  <c r="D73" i="64"/>
  <c r="K40" i="64"/>
  <c r="K81" i="64"/>
  <c r="G70" i="64"/>
  <c r="G40" i="64"/>
  <c r="L41" i="64"/>
  <c r="L82" i="64"/>
  <c r="K87" i="72" s="1"/>
  <c r="C83" i="64"/>
  <c r="C72" i="64"/>
  <c r="C42" i="64"/>
  <c r="M39" i="64"/>
  <c r="M80" i="64"/>
  <c r="M79" i="64"/>
  <c r="F15" i="71" s="1"/>
  <c r="F20" i="71" s="1"/>
  <c r="N83" i="64"/>
  <c r="N42" i="64"/>
  <c r="B41" i="64"/>
  <c r="B82" i="64"/>
  <c r="B87" i="72" s="1"/>
  <c r="B71" i="64"/>
  <c r="I41" i="64"/>
  <c r="I82" i="64"/>
  <c r="H87" i="72" s="1"/>
  <c r="F83" i="64"/>
  <c r="F42" i="64"/>
  <c r="G83" i="64"/>
  <c r="F72" i="64"/>
  <c r="F41" i="64"/>
  <c r="G82" i="64"/>
  <c r="F82" i="64"/>
  <c r="F71" i="64"/>
  <c r="M17" i="64"/>
  <c r="M33" i="64" s="1"/>
  <c r="M69" i="64" s="1"/>
  <c r="F16" i="67"/>
  <c r="N79" i="64"/>
  <c r="G15" i="71" s="1"/>
  <c r="G20" i="71" s="1"/>
  <c r="N80" i="64"/>
  <c r="N39" i="64"/>
  <c r="K41" i="64"/>
  <c r="K82" i="64"/>
  <c r="J87" i="72" s="1"/>
  <c r="J17" i="64"/>
  <c r="J33" i="64" s="1"/>
  <c r="J69" i="64" s="1"/>
  <c r="C16" i="67"/>
  <c r="G72" i="64"/>
  <c r="G42" i="64"/>
  <c r="L42" i="64"/>
  <c r="L83" i="64"/>
  <c r="M41" i="64"/>
  <c r="M82" i="64"/>
  <c r="L87" i="72" s="1"/>
  <c r="N81" i="64"/>
  <c r="N40" i="64"/>
  <c r="G41" i="64"/>
  <c r="G71" i="64"/>
  <c r="J82" i="64"/>
  <c r="I87" i="72" s="1"/>
  <c r="J41" i="64"/>
  <c r="L40" i="64"/>
  <c r="L81" i="64"/>
  <c r="E80" i="64"/>
  <c r="E69" i="64"/>
  <c r="E39" i="64"/>
  <c r="B72" i="64"/>
  <c r="B42" i="64"/>
  <c r="B83" i="64"/>
  <c r="I29" i="64"/>
  <c r="K39" i="64"/>
  <c r="K79" i="64"/>
  <c r="D15" i="71" s="1"/>
  <c r="D20" i="71" s="1"/>
  <c r="K80" i="64"/>
  <c r="E16" i="67"/>
  <c r="L17" i="64"/>
  <c r="L33" i="64" s="1"/>
  <c r="L71" i="64" s="1"/>
  <c r="J40" i="64"/>
  <c r="J81" i="64"/>
  <c r="C82" i="64"/>
  <c r="C41" i="64"/>
  <c r="C71" i="64"/>
  <c r="E81" i="64"/>
  <c r="E70" i="64"/>
  <c r="E40" i="64"/>
  <c r="B39" i="64"/>
  <c r="B69" i="64"/>
  <c r="B80" i="64"/>
  <c r="D70" i="64"/>
  <c r="D40" i="64"/>
  <c r="D81" i="64"/>
  <c r="D72" i="64"/>
  <c r="D42" i="64"/>
  <c r="D83" i="64"/>
  <c r="J39" i="64"/>
  <c r="J79" i="64"/>
  <c r="C15" i="71" s="1"/>
  <c r="C20" i="71" s="1"/>
  <c r="J80" i="64"/>
  <c r="C69" i="64"/>
  <c r="C80" i="64"/>
  <c r="C39" i="64"/>
  <c r="E83" i="64"/>
  <c r="E72" i="64"/>
  <c r="E42" i="64"/>
  <c r="I40" i="64"/>
  <c r="I81" i="64"/>
  <c r="G81" i="64"/>
  <c r="F81" i="64"/>
  <c r="F40" i="64"/>
  <c r="F70" i="64"/>
  <c r="E90" i="72" l="1"/>
  <c r="D87" i="72"/>
  <c r="D90" i="72" s="1"/>
  <c r="G87" i="72"/>
  <c r="C87" i="72"/>
  <c r="C90" i="72" s="1"/>
  <c r="F87" i="72"/>
  <c r="C93" i="72"/>
  <c r="B90" i="72"/>
  <c r="I70" i="64"/>
  <c r="M71" i="64"/>
  <c r="J71" i="64"/>
  <c r="K70" i="64"/>
  <c r="L70" i="64"/>
  <c r="K71" i="64"/>
  <c r="C19" i="72"/>
  <c r="C12" i="66"/>
  <c r="N71" i="64"/>
  <c r="N43" i="64"/>
  <c r="N73" i="64"/>
  <c r="N84" i="64"/>
  <c r="E16" i="66"/>
  <c r="D53" i="72"/>
  <c r="D13" i="66"/>
  <c r="J13" i="66"/>
  <c r="I53" i="72"/>
  <c r="D36" i="71"/>
  <c r="D35" i="71"/>
  <c r="D34" i="71"/>
  <c r="J70" i="64"/>
  <c r="J84" i="64"/>
  <c r="J43" i="64"/>
  <c r="J73" i="64"/>
  <c r="G15" i="66"/>
  <c r="N15" i="66"/>
  <c r="B13" i="66"/>
  <c r="B53" i="72"/>
  <c r="B92" i="64"/>
  <c r="K19" i="72"/>
  <c r="L12" i="66"/>
  <c r="K15" i="66"/>
  <c r="I15" i="66"/>
  <c r="C94" i="64"/>
  <c r="C53" i="72"/>
  <c r="C13" i="66"/>
  <c r="I13" i="66"/>
  <c r="C92" i="64"/>
  <c r="H53" i="72"/>
  <c r="C35" i="71"/>
  <c r="C34" i="71"/>
  <c r="C36" i="71"/>
  <c r="M14" i="66"/>
  <c r="E34" i="71"/>
  <c r="E35" i="71"/>
  <c r="E36" i="71"/>
  <c r="G16" i="66"/>
  <c r="L14" i="66"/>
  <c r="E14" i="66"/>
  <c r="K69" i="64"/>
  <c r="K43" i="64"/>
  <c r="K73" i="64"/>
  <c r="K84" i="64"/>
  <c r="J19" i="72"/>
  <c r="K12" i="66"/>
  <c r="M53" i="72"/>
  <c r="N13" i="66"/>
  <c r="N69" i="64"/>
  <c r="C14" i="66"/>
  <c r="E12" i="66"/>
  <c r="E19" i="72"/>
  <c r="C16" i="66"/>
  <c r="M72" i="64"/>
  <c r="D41" i="67"/>
  <c r="D32" i="67"/>
  <c r="I80" i="64"/>
  <c r="I79" i="64"/>
  <c r="I69" i="64"/>
  <c r="I39" i="64"/>
  <c r="C15" i="66"/>
  <c r="F13" i="66"/>
  <c r="F53" i="72"/>
  <c r="E15" i="66"/>
  <c r="G53" i="72"/>
  <c r="G13" i="66"/>
  <c r="L72" i="64"/>
  <c r="L73" i="64"/>
  <c r="L84" i="64"/>
  <c r="L43" i="64"/>
  <c r="B15" i="66"/>
  <c r="B94" i="64"/>
  <c r="N12" i="66"/>
  <c r="M19" i="72"/>
  <c r="F15" i="66"/>
  <c r="D16" i="66"/>
  <c r="F16" i="66"/>
  <c r="M15" i="66"/>
  <c r="J72" i="64"/>
  <c r="E32" i="67"/>
  <c r="E41" i="67"/>
  <c r="G36" i="71"/>
  <c r="G34" i="71"/>
  <c r="G35" i="71"/>
  <c r="F14" i="66"/>
  <c r="B14" i="66"/>
  <c r="B93" i="64"/>
  <c r="L53" i="72"/>
  <c r="M13" i="66"/>
  <c r="J15" i="66"/>
  <c r="D15" i="66"/>
  <c r="B91" i="64"/>
  <c r="B12" i="66"/>
  <c r="B79" i="64"/>
  <c r="B19" i="72"/>
  <c r="F41" i="67"/>
  <c r="F32" i="67"/>
  <c r="G14" i="66"/>
  <c r="F34" i="71"/>
  <c r="F36" i="71"/>
  <c r="F35" i="71"/>
  <c r="B32" i="67"/>
  <c r="B41" i="67"/>
  <c r="N14" i="66"/>
  <c r="L69" i="64"/>
  <c r="D12" i="66"/>
  <c r="D19" i="72"/>
  <c r="L13" i="66"/>
  <c r="K53" i="72"/>
  <c r="C41" i="67"/>
  <c r="C32" i="67"/>
  <c r="I14" i="66"/>
  <c r="C93" i="64"/>
  <c r="C79" i="64"/>
  <c r="G19" i="72"/>
  <c r="G12" i="66"/>
  <c r="I19" i="72"/>
  <c r="J12" i="66"/>
  <c r="E53" i="72"/>
  <c r="E13" i="66"/>
  <c r="N18" i="64"/>
  <c r="J14" i="66"/>
  <c r="L15" i="66"/>
  <c r="K14" i="66"/>
  <c r="M70" i="64"/>
  <c r="M84" i="64"/>
  <c r="M73" i="64"/>
  <c r="M43" i="64"/>
  <c r="N72" i="64"/>
  <c r="M12" i="66"/>
  <c r="L19" i="72"/>
  <c r="K13" i="66"/>
  <c r="J53" i="72"/>
  <c r="F12" i="66"/>
  <c r="F19" i="72"/>
  <c r="I71" i="64"/>
  <c r="I84" i="64"/>
  <c r="I73" i="64"/>
  <c r="I43" i="64"/>
  <c r="B95" i="64"/>
  <c r="B16" i="66"/>
  <c r="D14" i="66"/>
  <c r="B93" i="72" l="1"/>
  <c r="D93" i="72" s="1"/>
  <c r="E93" i="72" s="1"/>
  <c r="G90" i="72"/>
  <c r="F90" i="72"/>
  <c r="D38" i="66"/>
  <c r="D92" i="64"/>
  <c r="J16" i="66"/>
  <c r="D94" i="64"/>
  <c r="E94" i="64" s="1"/>
  <c r="G38" i="66"/>
  <c r="B92" i="66"/>
  <c r="C95" i="64"/>
  <c r="D95" i="64" s="1"/>
  <c r="E95" i="64" s="1"/>
  <c r="I16" i="66"/>
  <c r="D93" i="64"/>
  <c r="E93" i="64" s="1"/>
  <c r="L16" i="66"/>
  <c r="C38" i="66"/>
  <c r="B59" i="72"/>
  <c r="F38" i="66"/>
  <c r="C59" i="72"/>
  <c r="N16" i="66"/>
  <c r="B15" i="71"/>
  <c r="B20" i="71" s="1"/>
  <c r="C90" i="64"/>
  <c r="B38" i="66"/>
  <c r="M16" i="66"/>
  <c r="G41" i="67"/>
  <c r="B25" i="72"/>
  <c r="I12" i="66"/>
  <c r="C91" i="64"/>
  <c r="H19" i="72"/>
  <c r="K16" i="66"/>
  <c r="B90" i="64"/>
  <c r="E38" i="66"/>
  <c r="B100" i="72" l="1"/>
  <c r="C100" i="72"/>
  <c r="C49" i="66"/>
  <c r="C79" i="66"/>
  <c r="I38" i="66"/>
  <c r="J38" i="66"/>
  <c r="F79" i="66"/>
  <c r="F49" i="66"/>
  <c r="C92" i="66"/>
  <c r="J92" i="66" s="1"/>
  <c r="B104" i="66"/>
  <c r="E92" i="64"/>
  <c r="B102" i="66"/>
  <c r="N38" i="66"/>
  <c r="B105" i="66"/>
  <c r="G49" i="66"/>
  <c r="G79" i="66"/>
  <c r="D79" i="66"/>
  <c r="D49" i="66"/>
  <c r="E79" i="66"/>
  <c r="E49" i="66"/>
  <c r="B59" i="71"/>
  <c r="B97" i="64"/>
  <c r="D90" i="64"/>
  <c r="E90" i="64" s="1"/>
  <c r="C25" i="72"/>
  <c r="D25" i="72" s="1"/>
  <c r="E25" i="72" s="1"/>
  <c r="C59" i="71"/>
  <c r="C97" i="64"/>
  <c r="D91" i="64"/>
  <c r="M38" i="66"/>
  <c r="B36" i="71"/>
  <c r="I36" i="71" s="1"/>
  <c r="D50" i="71" s="1"/>
  <c r="B34" i="71"/>
  <c r="I34" i="71" s="1"/>
  <c r="B35" i="71"/>
  <c r="I35" i="71" s="1"/>
  <c r="C50" i="71" s="1"/>
  <c r="I20" i="71"/>
  <c r="I92" i="66"/>
  <c r="K38" i="66"/>
  <c r="B79" i="66"/>
  <c r="B49" i="66"/>
  <c r="D59" i="72"/>
  <c r="L38" i="66"/>
  <c r="B103" i="66"/>
  <c r="J105" i="72" l="1"/>
  <c r="L105" i="72"/>
  <c r="H105" i="72"/>
  <c r="M105" i="72"/>
  <c r="I105" i="72"/>
  <c r="K105" i="72"/>
  <c r="D105" i="72"/>
  <c r="E105" i="72"/>
  <c r="G105" i="72"/>
  <c r="C105" i="72"/>
  <c r="F105" i="72"/>
  <c r="B105" i="72"/>
  <c r="D92" i="66"/>
  <c r="C66" i="72"/>
  <c r="B66" i="72"/>
  <c r="B101" i="66"/>
  <c r="E91" i="64"/>
  <c r="D105" i="66"/>
  <c r="K105" i="66" s="1"/>
  <c r="I105" i="66"/>
  <c r="K79" i="66"/>
  <c r="K49" i="66"/>
  <c r="N49" i="66"/>
  <c r="N79" i="66"/>
  <c r="I102" i="66"/>
  <c r="B32" i="72"/>
  <c r="C32" i="72"/>
  <c r="I103" i="66"/>
  <c r="M79" i="66"/>
  <c r="M49" i="66"/>
  <c r="B50" i="71"/>
  <c r="I33" i="71"/>
  <c r="D97" i="64"/>
  <c r="D98" i="64" s="1"/>
  <c r="L79" i="66"/>
  <c r="L49" i="66"/>
  <c r="D59" i="71"/>
  <c r="E59" i="71" s="1"/>
  <c r="J79" i="66"/>
  <c r="J49" i="66"/>
  <c r="I49" i="66"/>
  <c r="I79" i="66"/>
  <c r="E59" i="72"/>
  <c r="I104" i="66"/>
  <c r="K92" i="66" l="1"/>
  <c r="E92" i="66"/>
  <c r="E97" i="64"/>
  <c r="E37" i="72"/>
  <c r="D37" i="72"/>
  <c r="G37" i="72"/>
  <c r="C37" i="72"/>
  <c r="F37" i="72"/>
  <c r="B37" i="72"/>
  <c r="I101" i="66"/>
  <c r="E105" i="66"/>
  <c r="F71" i="72"/>
  <c r="B71" i="72"/>
  <c r="E71" i="72"/>
  <c r="C71" i="72"/>
  <c r="D71" i="72"/>
  <c r="G71" i="72"/>
  <c r="C65" i="71"/>
  <c r="D70" i="71" s="1"/>
  <c r="B65" i="71"/>
  <c r="I37" i="72"/>
  <c r="J37" i="72"/>
  <c r="M37" i="72"/>
  <c r="H37" i="72"/>
  <c r="L37" i="72"/>
  <c r="K37" i="72"/>
  <c r="H71" i="72"/>
  <c r="M71" i="72"/>
  <c r="I71" i="72"/>
  <c r="J71" i="72"/>
  <c r="L71" i="72"/>
  <c r="K71" i="72"/>
  <c r="I11" i="66" l="1"/>
  <c r="B70" i="71"/>
  <c r="C70" i="71"/>
  <c r="E70" i="71"/>
  <c r="F70" i="71"/>
  <c r="K11" i="66" l="1"/>
  <c r="J11" i="66"/>
  <c r="C11" i="66"/>
  <c r="B76" i="71"/>
  <c r="B11" i="66"/>
  <c r="C76" i="71"/>
  <c r="D76" i="71" l="1"/>
  <c r="B100" i="66" l="1"/>
  <c r="E76" i="71"/>
  <c r="B107" i="66" l="1"/>
  <c r="I100" i="66"/>
  <c r="I107" i="66" l="1"/>
  <c r="C33" i="1" l="1"/>
  <c r="C31" i="1" s="1"/>
  <c r="F10" i="62" l="1"/>
  <c r="G10" i="62"/>
  <c r="E10" i="62"/>
  <c r="H10" i="62"/>
  <c r="H23" i="62" l="1"/>
  <c r="H20" i="62"/>
  <c r="E23" i="62"/>
  <c r="E20" i="62"/>
  <c r="J10" i="62"/>
  <c r="F20" i="62"/>
  <c r="F23" i="62"/>
  <c r="G23" i="62"/>
  <c r="G20" i="62"/>
  <c r="J53" i="62" l="1"/>
  <c r="J51" i="62"/>
  <c r="J50" i="62"/>
  <c r="J54" i="62"/>
  <c r="J55" i="62"/>
  <c r="J52" i="62"/>
  <c r="J36" i="62"/>
  <c r="J34" i="62"/>
  <c r="J37" i="62"/>
  <c r="J39" i="62"/>
  <c r="J38" i="62"/>
  <c r="J35" i="62"/>
  <c r="I36" i="62"/>
  <c r="I34" i="62"/>
  <c r="I37" i="62"/>
  <c r="I39" i="62"/>
  <c r="I38" i="62"/>
  <c r="I35" i="62"/>
  <c r="H37" i="62"/>
  <c r="M65" i="62" s="1"/>
  <c r="H39" i="62"/>
  <c r="O65" i="62" s="1"/>
  <c r="H36" i="62"/>
  <c r="L65" i="62" s="1"/>
  <c r="H34" i="62"/>
  <c r="H38" i="62"/>
  <c r="N65" i="62" s="1"/>
  <c r="H35" i="62"/>
  <c r="K65" i="62" s="1"/>
  <c r="H55" i="62"/>
  <c r="O85" i="62" s="1"/>
  <c r="G12" i="67" s="1"/>
  <c r="H52" i="62"/>
  <c r="L85" i="62" s="1"/>
  <c r="H54" i="62"/>
  <c r="N85" i="62" s="1"/>
  <c r="H53" i="62"/>
  <c r="M85" i="62" s="1"/>
  <c r="H51" i="62"/>
  <c r="K85" i="62" s="1"/>
  <c r="H50" i="62"/>
  <c r="K51" i="62"/>
  <c r="K52" i="62"/>
  <c r="K53" i="62"/>
  <c r="K54" i="62"/>
  <c r="K55" i="62"/>
  <c r="K50" i="62"/>
  <c r="J23" i="62"/>
  <c r="J22" i="62" s="1"/>
  <c r="K37" i="62"/>
  <c r="K39" i="62"/>
  <c r="K36" i="62"/>
  <c r="K34" i="62"/>
  <c r="K35" i="62"/>
  <c r="K38" i="62"/>
  <c r="J20" i="62"/>
  <c r="J19" i="62" s="1"/>
  <c r="I52" i="62"/>
  <c r="I54" i="62"/>
  <c r="I51" i="62"/>
  <c r="I53" i="62"/>
  <c r="I55" i="62"/>
  <c r="I50" i="62"/>
  <c r="L86" i="62" l="1"/>
  <c r="L87" i="62"/>
  <c r="L71" i="62"/>
  <c r="D16" i="65" s="1"/>
  <c r="D32" i="65" s="1"/>
  <c r="L72" i="62"/>
  <c r="L73" i="62"/>
  <c r="L74" i="62"/>
  <c r="N94" i="62"/>
  <c r="N91" i="62"/>
  <c r="N92" i="62"/>
  <c r="N93" i="62"/>
  <c r="G37" i="67"/>
  <c r="G28" i="67"/>
  <c r="O70" i="62"/>
  <c r="O68" i="62"/>
  <c r="O69" i="62"/>
  <c r="O71" i="62"/>
  <c r="G16" i="65" s="1"/>
  <c r="G32" i="65" s="1"/>
  <c r="O72" i="62"/>
  <c r="O73" i="62"/>
  <c r="O74" i="62"/>
  <c r="M92" i="62"/>
  <c r="M93" i="62"/>
  <c r="M94" i="62"/>
  <c r="M91" i="62"/>
  <c r="M70" i="62"/>
  <c r="M69" i="62"/>
  <c r="M68" i="62"/>
  <c r="K66" i="62"/>
  <c r="K67" i="62"/>
  <c r="J68" i="62"/>
  <c r="J70" i="62"/>
  <c r="J41" i="62"/>
  <c r="J69" i="62"/>
  <c r="L89" i="62"/>
  <c r="L90" i="62"/>
  <c r="L88" i="62"/>
  <c r="J86" i="62"/>
  <c r="J87" i="62"/>
  <c r="I57" i="62"/>
  <c r="H57" i="62"/>
  <c r="J85" i="62"/>
  <c r="O86" i="62"/>
  <c r="O87" i="62"/>
  <c r="C12" i="67"/>
  <c r="J65" i="62"/>
  <c r="H41" i="62"/>
  <c r="O67" i="62"/>
  <c r="O66" i="62"/>
  <c r="N88" i="62"/>
  <c r="N89" i="62"/>
  <c r="N90" i="62"/>
  <c r="N67" i="62"/>
  <c r="N66" i="62"/>
  <c r="O89" i="62"/>
  <c r="O88" i="62"/>
  <c r="O90" i="62"/>
  <c r="N74" i="62"/>
  <c r="N73" i="62"/>
  <c r="N71" i="62"/>
  <c r="F16" i="65" s="1"/>
  <c r="F32" i="65" s="1"/>
  <c r="N72" i="62"/>
  <c r="E12" i="67"/>
  <c r="M66" i="62"/>
  <c r="M67" i="62"/>
  <c r="J90" i="62"/>
  <c r="J89" i="62"/>
  <c r="J88" i="62"/>
  <c r="J57" i="62"/>
  <c r="M72" i="62"/>
  <c r="M74" i="62"/>
  <c r="M73" i="62"/>
  <c r="M71" i="62"/>
  <c r="E16" i="65" s="1"/>
  <c r="E32" i="65" s="1"/>
  <c r="L91" i="62"/>
  <c r="L92" i="62"/>
  <c r="L93" i="62"/>
  <c r="L94" i="62"/>
  <c r="L70" i="62"/>
  <c r="L68" i="62"/>
  <c r="L69" i="62"/>
  <c r="K86" i="62"/>
  <c r="K87" i="62"/>
  <c r="K74" i="62"/>
  <c r="K72" i="62"/>
  <c r="K73" i="62"/>
  <c r="K71" i="62"/>
  <c r="C16" i="65" s="1"/>
  <c r="C32" i="65" s="1"/>
  <c r="J92" i="62"/>
  <c r="J94" i="62"/>
  <c r="J93" i="62"/>
  <c r="J91" i="62"/>
  <c r="K57" i="62"/>
  <c r="F12" i="67"/>
  <c r="I41" i="62"/>
  <c r="J66" i="62"/>
  <c r="J67" i="62"/>
  <c r="K68" i="62"/>
  <c r="K69" i="62"/>
  <c r="K70" i="62"/>
  <c r="K88" i="62"/>
  <c r="K90" i="62"/>
  <c r="K89" i="62"/>
  <c r="K94" i="62"/>
  <c r="K93" i="62"/>
  <c r="K91" i="62"/>
  <c r="K92" i="62"/>
  <c r="M86" i="62"/>
  <c r="M87" i="62"/>
  <c r="N87" i="62"/>
  <c r="N86" i="62"/>
  <c r="J73" i="62"/>
  <c r="K41" i="62"/>
  <c r="J74" i="62"/>
  <c r="J72" i="62"/>
  <c r="J71" i="62"/>
  <c r="B16" i="65" s="1"/>
  <c r="B32" i="65" s="1"/>
  <c r="O91" i="62"/>
  <c r="O93" i="62"/>
  <c r="O92" i="62"/>
  <c r="O94" i="62"/>
  <c r="D12" i="67"/>
  <c r="L66" i="62"/>
  <c r="L67" i="62"/>
  <c r="N69" i="62"/>
  <c r="N68" i="62"/>
  <c r="N70" i="62"/>
  <c r="M90" i="62"/>
  <c r="M89" i="62"/>
  <c r="M88" i="62"/>
  <c r="K13" i="65" l="1"/>
  <c r="K29" i="65" s="1"/>
  <c r="K80" i="65" s="1"/>
  <c r="D15" i="65"/>
  <c r="D31" i="65" s="1"/>
  <c r="D82" i="65" s="1"/>
  <c r="D88" i="72" s="1"/>
  <c r="E13" i="65"/>
  <c r="E29" i="65" s="1"/>
  <c r="E39" i="65" s="1"/>
  <c r="G14" i="65"/>
  <c r="G30" i="65" s="1"/>
  <c r="G70" i="65" s="1"/>
  <c r="G13" i="65"/>
  <c r="G29" i="65" s="1"/>
  <c r="G39" i="65" s="1"/>
  <c r="F15" i="65"/>
  <c r="F31" i="65" s="1"/>
  <c r="F71" i="65" s="1"/>
  <c r="M13" i="65"/>
  <c r="M29" i="65" s="1"/>
  <c r="M79" i="65" s="1"/>
  <c r="F16" i="71" s="1"/>
  <c r="F21" i="71" s="1"/>
  <c r="L13" i="65"/>
  <c r="L29" i="65" s="1"/>
  <c r="L80" i="65" s="1"/>
  <c r="C13" i="65"/>
  <c r="C29" i="65" s="1"/>
  <c r="C15" i="65"/>
  <c r="C31" i="65" s="1"/>
  <c r="C71" i="65" s="1"/>
  <c r="J13" i="65"/>
  <c r="J29" i="65" s="1"/>
  <c r="J80" i="65" s="1"/>
  <c r="E14" i="65"/>
  <c r="E30" i="65" s="1"/>
  <c r="E81" i="65" s="1"/>
  <c r="B15" i="65"/>
  <c r="B31" i="65" s="1"/>
  <c r="D13" i="65"/>
  <c r="D29" i="65" s="1"/>
  <c r="D80" i="65" s="1"/>
  <c r="F13" i="65"/>
  <c r="F29" i="65" s="1"/>
  <c r="E15" i="65"/>
  <c r="E31" i="65" s="1"/>
  <c r="K79" i="65"/>
  <c r="D16" i="71" s="1"/>
  <c r="D21" i="71" s="1"/>
  <c r="D71" i="65"/>
  <c r="J14" i="65"/>
  <c r="J30" i="65" s="1"/>
  <c r="C13" i="67"/>
  <c r="D72" i="65"/>
  <c r="D83" i="65"/>
  <c r="D42" i="65"/>
  <c r="D14" i="65"/>
  <c r="D30" i="65" s="1"/>
  <c r="N16" i="65"/>
  <c r="N32" i="65" s="1"/>
  <c r="G15" i="67"/>
  <c r="G31" i="67" s="1"/>
  <c r="B15" i="67"/>
  <c r="I16" i="65"/>
  <c r="I32" i="65" s="1"/>
  <c r="C83" i="65"/>
  <c r="C72" i="65"/>
  <c r="C42" i="65"/>
  <c r="K16" i="65"/>
  <c r="K32" i="65" s="1"/>
  <c r="D15" i="67"/>
  <c r="E28" i="67"/>
  <c r="E37" i="67"/>
  <c r="N15" i="65"/>
  <c r="N31" i="65" s="1"/>
  <c r="G14" i="67"/>
  <c r="G30" i="67" s="1"/>
  <c r="C28" i="67"/>
  <c r="C37" i="67"/>
  <c r="B13" i="67"/>
  <c r="I14" i="65"/>
  <c r="I30" i="65" s="1"/>
  <c r="I15" i="65"/>
  <c r="I31" i="65" s="1"/>
  <c r="B14" i="67"/>
  <c r="B83" i="65"/>
  <c r="B72" i="65"/>
  <c r="B42" i="65"/>
  <c r="E13" i="67"/>
  <c r="L14" i="65"/>
  <c r="L30" i="65" s="1"/>
  <c r="E72" i="65"/>
  <c r="E83" i="65"/>
  <c r="E42" i="65"/>
  <c r="B13" i="65"/>
  <c r="B29" i="65" s="1"/>
  <c r="G13" i="67"/>
  <c r="N14" i="65"/>
  <c r="N30" i="65" s="1"/>
  <c r="D14" i="67"/>
  <c r="K15" i="65"/>
  <c r="K31" i="65" s="1"/>
  <c r="C14" i="65"/>
  <c r="C30" i="65" s="1"/>
  <c r="D13" i="67"/>
  <c r="K14" i="65"/>
  <c r="K30" i="65" s="1"/>
  <c r="C69" i="65"/>
  <c r="C80" i="65"/>
  <c r="E80" i="65"/>
  <c r="F14" i="65"/>
  <c r="F30" i="65" s="1"/>
  <c r="F14" i="67"/>
  <c r="M15" i="65"/>
  <c r="M31" i="65" s="1"/>
  <c r="G15" i="65"/>
  <c r="G31" i="65" s="1"/>
  <c r="F15" i="67"/>
  <c r="M16" i="65"/>
  <c r="M32" i="65" s="1"/>
  <c r="M14" i="65"/>
  <c r="M30" i="65" s="1"/>
  <c r="F13" i="67"/>
  <c r="J16" i="65"/>
  <c r="J32" i="65" s="1"/>
  <c r="C15" i="67"/>
  <c r="N13" i="65"/>
  <c r="N29" i="65" s="1"/>
  <c r="L16" i="65"/>
  <c r="L32" i="65" s="1"/>
  <c r="E15" i="67"/>
  <c r="L15" i="65"/>
  <c r="L31" i="65" s="1"/>
  <c r="E14" i="67"/>
  <c r="D37" i="67"/>
  <c r="D28" i="67"/>
  <c r="C14" i="67"/>
  <c r="J15" i="65"/>
  <c r="J31" i="65" s="1"/>
  <c r="B14" i="65"/>
  <c r="B30" i="65" s="1"/>
  <c r="F37" i="67"/>
  <c r="F28" i="67"/>
  <c r="G83" i="65"/>
  <c r="F42" i="65"/>
  <c r="F72" i="65"/>
  <c r="F83" i="65"/>
  <c r="B12" i="67"/>
  <c r="I13" i="65"/>
  <c r="G42" i="65"/>
  <c r="G72" i="65"/>
  <c r="E70" i="65" l="1"/>
  <c r="E69" i="65"/>
  <c r="D89" i="72"/>
  <c r="G69" i="65"/>
  <c r="G40" i="65"/>
  <c r="E71" i="65"/>
  <c r="L79" i="65"/>
  <c r="E16" i="71" s="1"/>
  <c r="E21" i="71" s="1"/>
  <c r="E40" i="71" s="1"/>
  <c r="E82" i="65"/>
  <c r="C39" i="65"/>
  <c r="M39" i="65"/>
  <c r="J79" i="65"/>
  <c r="C16" i="71" s="1"/>
  <c r="C21" i="71" s="1"/>
  <c r="E40" i="65"/>
  <c r="C82" i="65"/>
  <c r="C88" i="72" s="1"/>
  <c r="F39" i="65"/>
  <c r="F80" i="65"/>
  <c r="F20" i="72" s="1"/>
  <c r="G82" i="65"/>
  <c r="G80" i="65"/>
  <c r="G22" i="66" s="1"/>
  <c r="M80" i="65"/>
  <c r="M22" i="66" s="1"/>
  <c r="B82" i="65"/>
  <c r="B71" i="65"/>
  <c r="E41" i="65"/>
  <c r="B41" i="65"/>
  <c r="D69" i="65"/>
  <c r="D39" i="65"/>
  <c r="F69" i="65"/>
  <c r="C39" i="67"/>
  <c r="C30" i="67"/>
  <c r="D70" i="65"/>
  <c r="D81" i="65"/>
  <c r="D40" i="65"/>
  <c r="E20" i="72"/>
  <c r="E22" i="66"/>
  <c r="L39" i="65"/>
  <c r="K39" i="65"/>
  <c r="B28" i="67"/>
  <c r="B37" i="67"/>
  <c r="L83" i="65"/>
  <c r="L72" i="65"/>
  <c r="L42" i="65"/>
  <c r="M40" i="65"/>
  <c r="M70" i="65"/>
  <c r="M81" i="65"/>
  <c r="F70" i="65"/>
  <c r="F40" i="65"/>
  <c r="F81" i="65"/>
  <c r="D30" i="67"/>
  <c r="D39" i="67"/>
  <c r="B25" i="66"/>
  <c r="B94" i="65"/>
  <c r="I40" i="65"/>
  <c r="I81" i="65"/>
  <c r="I70" i="65"/>
  <c r="D41" i="65"/>
  <c r="L41" i="65"/>
  <c r="L82" i="65"/>
  <c r="K88" i="72" s="1"/>
  <c r="K89" i="72" s="1"/>
  <c r="L71" i="65"/>
  <c r="J83" i="65"/>
  <c r="J42" i="65"/>
  <c r="J72" i="65"/>
  <c r="E25" i="66"/>
  <c r="F30" i="67"/>
  <c r="F39" i="67"/>
  <c r="C24" i="66"/>
  <c r="I82" i="65"/>
  <c r="H88" i="72" s="1"/>
  <c r="I41" i="65"/>
  <c r="I71" i="65"/>
  <c r="G25" i="66"/>
  <c r="E23" i="66"/>
  <c r="E54" i="72"/>
  <c r="C41" i="65"/>
  <c r="N81" i="65"/>
  <c r="N70" i="65"/>
  <c r="N40" i="65"/>
  <c r="B38" i="67"/>
  <c r="B29" i="67"/>
  <c r="N41" i="65"/>
  <c r="N71" i="65"/>
  <c r="N82" i="65"/>
  <c r="M88" i="72" s="1"/>
  <c r="M89" i="72" s="1"/>
  <c r="C25" i="66"/>
  <c r="D25" i="66"/>
  <c r="L22" i="66"/>
  <c r="K20" i="72"/>
  <c r="K21" i="72" s="1"/>
  <c r="F25" i="66"/>
  <c r="I29" i="65"/>
  <c r="N18" i="65"/>
  <c r="G71" i="65"/>
  <c r="G41" i="65"/>
  <c r="K82" i="65"/>
  <c r="J88" i="72" s="1"/>
  <c r="J89" i="72" s="1"/>
  <c r="K71" i="65"/>
  <c r="K41" i="65"/>
  <c r="F40" i="71"/>
  <c r="F39" i="71"/>
  <c r="F38" i="71"/>
  <c r="I20" i="72"/>
  <c r="I21" i="72" s="1"/>
  <c r="J22" i="66"/>
  <c r="F41" i="65"/>
  <c r="K81" i="65"/>
  <c r="K40" i="65"/>
  <c r="K70" i="65"/>
  <c r="L70" i="65"/>
  <c r="L40" i="65"/>
  <c r="L81" i="65"/>
  <c r="B31" i="67"/>
  <c r="B40" i="67"/>
  <c r="J81" i="65"/>
  <c r="J70" i="65"/>
  <c r="J40" i="65"/>
  <c r="D24" i="66"/>
  <c r="M41" i="65"/>
  <c r="M82" i="65"/>
  <c r="L88" i="72" s="1"/>
  <c r="L89" i="72" s="1"/>
  <c r="M71" i="65"/>
  <c r="B30" i="67"/>
  <c r="B39" i="67"/>
  <c r="J20" i="72"/>
  <c r="J21" i="72" s="1"/>
  <c r="K22" i="66"/>
  <c r="E31" i="67"/>
  <c r="E40" i="67"/>
  <c r="J69" i="65"/>
  <c r="N39" i="65"/>
  <c r="N79" i="65"/>
  <c r="G16" i="71" s="1"/>
  <c r="G21" i="71" s="1"/>
  <c r="N80" i="65"/>
  <c r="C38" i="67"/>
  <c r="C29" i="67"/>
  <c r="B81" i="65"/>
  <c r="B70" i="65"/>
  <c r="B40" i="65"/>
  <c r="J39" i="65"/>
  <c r="M69" i="65"/>
  <c r="M72" i="65"/>
  <c r="M42" i="65"/>
  <c r="M83" i="65"/>
  <c r="F82" i="65"/>
  <c r="F88" i="72" s="1"/>
  <c r="D38" i="67"/>
  <c r="D29" i="67"/>
  <c r="B39" i="65"/>
  <c r="B69" i="65"/>
  <c r="B80" i="65"/>
  <c r="E38" i="67"/>
  <c r="E29" i="67"/>
  <c r="D40" i="67"/>
  <c r="D31" i="67"/>
  <c r="C81" i="65"/>
  <c r="C70" i="65"/>
  <c r="C40" i="65"/>
  <c r="F38" i="67"/>
  <c r="F29" i="67"/>
  <c r="G29" i="67"/>
  <c r="G38" i="67"/>
  <c r="I83" i="65"/>
  <c r="I72" i="65"/>
  <c r="I42" i="65"/>
  <c r="D20" i="72"/>
  <c r="D22" i="66"/>
  <c r="J41" i="65"/>
  <c r="J71" i="65"/>
  <c r="J82" i="65"/>
  <c r="I88" i="72" s="1"/>
  <c r="I89" i="72" s="1"/>
  <c r="E39" i="67"/>
  <c r="E30" i="67"/>
  <c r="C31" i="67"/>
  <c r="C40" i="67"/>
  <c r="F40" i="67"/>
  <c r="F31" i="67"/>
  <c r="C22" i="66"/>
  <c r="C20" i="72"/>
  <c r="G81" i="65"/>
  <c r="K69" i="65"/>
  <c r="K83" i="65"/>
  <c r="K72" i="65"/>
  <c r="K42" i="65"/>
  <c r="N69" i="65"/>
  <c r="N72" i="65"/>
  <c r="N42" i="65"/>
  <c r="N83" i="65"/>
  <c r="L69" i="65"/>
  <c r="D40" i="71"/>
  <c r="D39" i="71"/>
  <c r="D38" i="71"/>
  <c r="B88" i="72" l="1"/>
  <c r="F89" i="72"/>
  <c r="E88" i="72"/>
  <c r="C94" i="72"/>
  <c r="C95" i="72" s="1"/>
  <c r="H89" i="72"/>
  <c r="G88" i="72"/>
  <c r="C89" i="72"/>
  <c r="G20" i="72"/>
  <c r="G21" i="72" s="1"/>
  <c r="C79" i="65"/>
  <c r="G24" i="66"/>
  <c r="G36" i="66" s="1"/>
  <c r="E24" i="66"/>
  <c r="E39" i="71"/>
  <c r="E38" i="71"/>
  <c r="F22" i="66"/>
  <c r="L20" i="72"/>
  <c r="L21" i="72" s="1"/>
  <c r="B24" i="66"/>
  <c r="D21" i="72"/>
  <c r="L54" i="72"/>
  <c r="L55" i="72" s="1"/>
  <c r="M23" i="66"/>
  <c r="F24" i="66"/>
  <c r="M54" i="72"/>
  <c r="M55" i="72" s="1"/>
  <c r="N23" i="66"/>
  <c r="E55" i="72"/>
  <c r="C36" i="66"/>
  <c r="F21" i="72"/>
  <c r="B54" i="72"/>
  <c r="B23" i="66"/>
  <c r="B92" i="65"/>
  <c r="K23" i="66"/>
  <c r="J54" i="72"/>
  <c r="J55" i="72" s="1"/>
  <c r="J34" i="66"/>
  <c r="E35" i="66"/>
  <c r="J25" i="66"/>
  <c r="M34" i="66"/>
  <c r="B91" i="66"/>
  <c r="C37" i="66"/>
  <c r="I69" i="65"/>
  <c r="I80" i="65"/>
  <c r="I39" i="65"/>
  <c r="I79" i="65"/>
  <c r="N24" i="66"/>
  <c r="C21" i="72"/>
  <c r="N25" i="66"/>
  <c r="C34" i="66"/>
  <c r="C94" i="65"/>
  <c r="I25" i="66"/>
  <c r="B79" i="65"/>
  <c r="B91" i="65"/>
  <c r="B20" i="72"/>
  <c r="B22" i="66"/>
  <c r="N22" i="66"/>
  <c r="M20" i="72"/>
  <c r="M21" i="72" s="1"/>
  <c r="M24" i="66"/>
  <c r="I54" i="72"/>
  <c r="I55" i="72" s="1"/>
  <c r="J23" i="66"/>
  <c r="L34" i="66"/>
  <c r="G39" i="67"/>
  <c r="I23" i="66"/>
  <c r="C92" i="65"/>
  <c r="H54" i="72"/>
  <c r="B37" i="66"/>
  <c r="E34" i="66"/>
  <c r="C23" i="66"/>
  <c r="C54" i="72"/>
  <c r="D36" i="66"/>
  <c r="J24" i="66"/>
  <c r="M25" i="66"/>
  <c r="G40" i="71"/>
  <c r="G39" i="71"/>
  <c r="G38" i="71"/>
  <c r="K34" i="66"/>
  <c r="K24" i="66"/>
  <c r="E37" i="66"/>
  <c r="E21" i="72"/>
  <c r="G37" i="66"/>
  <c r="K25" i="66"/>
  <c r="C93" i="65"/>
  <c r="I24" i="66"/>
  <c r="L24" i="66"/>
  <c r="F54" i="72"/>
  <c r="F23" i="66"/>
  <c r="L25" i="66"/>
  <c r="D34" i="66"/>
  <c r="G34" i="66"/>
  <c r="G23" i="66"/>
  <c r="G54" i="72"/>
  <c r="G40" i="67"/>
  <c r="K54" i="72"/>
  <c r="K55" i="72" s="1"/>
  <c r="L23" i="66"/>
  <c r="F37" i="66"/>
  <c r="D37" i="66"/>
  <c r="B93" i="65"/>
  <c r="D23" i="66"/>
  <c r="D54" i="72"/>
  <c r="C38" i="71"/>
  <c r="C40" i="71"/>
  <c r="C39" i="71"/>
  <c r="E36" i="66" l="1"/>
  <c r="G89" i="72"/>
  <c r="E89" i="72"/>
  <c r="B94" i="72"/>
  <c r="B89" i="72"/>
  <c r="F34" i="66"/>
  <c r="F75" i="66" s="1"/>
  <c r="B36" i="66"/>
  <c r="B47" i="66" s="1"/>
  <c r="L75" i="66"/>
  <c r="C77" i="66"/>
  <c r="C47" i="66"/>
  <c r="K36" i="66"/>
  <c r="J36" i="66"/>
  <c r="C89" i="66"/>
  <c r="J89" i="66" s="1"/>
  <c r="B26" i="72"/>
  <c r="B21" i="72"/>
  <c r="I22" i="66"/>
  <c r="C91" i="65"/>
  <c r="H20" i="72"/>
  <c r="K35" i="66"/>
  <c r="N35" i="66"/>
  <c r="B16" i="71"/>
  <c r="B21" i="71" s="1"/>
  <c r="C90" i="65"/>
  <c r="M75" i="66"/>
  <c r="B60" i="72"/>
  <c r="B55" i="72"/>
  <c r="D35" i="66"/>
  <c r="L35" i="66"/>
  <c r="I35" i="66"/>
  <c r="J35" i="66"/>
  <c r="B88" i="66"/>
  <c r="I91" i="66"/>
  <c r="J75" i="66"/>
  <c r="B90" i="66"/>
  <c r="D93" i="65"/>
  <c r="K75" i="66"/>
  <c r="B35" i="66"/>
  <c r="D48" i="66"/>
  <c r="D78" i="66"/>
  <c r="G75" i="66"/>
  <c r="G45" i="66"/>
  <c r="C55" i="72"/>
  <c r="B78" i="66"/>
  <c r="B48" i="66"/>
  <c r="B90" i="65"/>
  <c r="C78" i="66"/>
  <c r="C48" i="66"/>
  <c r="F36" i="66"/>
  <c r="G48" i="66"/>
  <c r="G78" i="66"/>
  <c r="C91" i="66"/>
  <c r="J91" i="66" s="1"/>
  <c r="L36" i="66"/>
  <c r="E78" i="66"/>
  <c r="E48" i="66"/>
  <c r="E76" i="66"/>
  <c r="F35" i="66"/>
  <c r="D77" i="66"/>
  <c r="C35" i="66"/>
  <c r="D55" i="72"/>
  <c r="M37" i="66"/>
  <c r="L37" i="66"/>
  <c r="E77" i="66"/>
  <c r="E47" i="66"/>
  <c r="G55" i="72"/>
  <c r="I36" i="66"/>
  <c r="N37" i="66"/>
  <c r="N36" i="66"/>
  <c r="D94" i="65"/>
  <c r="D47" i="66"/>
  <c r="G77" i="66"/>
  <c r="G47" i="66"/>
  <c r="C60" i="72"/>
  <c r="C61" i="72" s="1"/>
  <c r="H55" i="72"/>
  <c r="B34" i="66"/>
  <c r="F48" i="66"/>
  <c r="F78" i="66"/>
  <c r="G35" i="66"/>
  <c r="D45" i="66"/>
  <c r="D75" i="66"/>
  <c r="F55" i="72"/>
  <c r="C90" i="66"/>
  <c r="J90" i="66" s="1"/>
  <c r="K37" i="66"/>
  <c r="E75" i="66"/>
  <c r="E45" i="66"/>
  <c r="M36" i="66"/>
  <c r="N34" i="66"/>
  <c r="L45" i="66" s="1"/>
  <c r="I37" i="66"/>
  <c r="C45" i="66"/>
  <c r="C75" i="66"/>
  <c r="J37" i="66"/>
  <c r="D92" i="65"/>
  <c r="B89" i="66"/>
  <c r="M35" i="66"/>
  <c r="D94" i="72" l="1"/>
  <c r="E94" i="72" s="1"/>
  <c r="B95" i="72"/>
  <c r="F45" i="66"/>
  <c r="B77" i="66"/>
  <c r="M48" i="66"/>
  <c r="M78" i="66"/>
  <c r="F77" i="66"/>
  <c r="F47" i="66"/>
  <c r="K45" i="66"/>
  <c r="C103" i="66"/>
  <c r="J46" i="66"/>
  <c r="J76" i="66"/>
  <c r="E92" i="65"/>
  <c r="C102" i="66"/>
  <c r="N78" i="66"/>
  <c r="N48" i="66"/>
  <c r="F76" i="66"/>
  <c r="F46" i="66"/>
  <c r="B76" i="66"/>
  <c r="B46" i="66"/>
  <c r="I90" i="66"/>
  <c r="D90" i="66"/>
  <c r="K90" i="66" s="1"/>
  <c r="I34" i="66"/>
  <c r="K77" i="66"/>
  <c r="K47" i="66"/>
  <c r="M47" i="66"/>
  <c r="M77" i="66"/>
  <c r="L48" i="66"/>
  <c r="L78" i="66"/>
  <c r="D76" i="66"/>
  <c r="D46" i="66"/>
  <c r="M76" i="66"/>
  <c r="M46" i="66"/>
  <c r="I77" i="66"/>
  <c r="I47" i="66"/>
  <c r="K48" i="66"/>
  <c r="K78" i="66"/>
  <c r="B97" i="65"/>
  <c r="D90" i="65"/>
  <c r="E90" i="65" s="1"/>
  <c r="B60" i="71"/>
  <c r="I88" i="66"/>
  <c r="B61" i="72"/>
  <c r="D60" i="72"/>
  <c r="E60" i="72" s="1"/>
  <c r="I78" i="66"/>
  <c r="I48" i="66"/>
  <c r="C104" i="66"/>
  <c r="E94" i="65"/>
  <c r="N47" i="66"/>
  <c r="N77" i="66"/>
  <c r="C97" i="65"/>
  <c r="C98" i="65" s="1"/>
  <c r="C60" i="71"/>
  <c r="C61" i="71" s="1"/>
  <c r="N46" i="66"/>
  <c r="N76" i="66"/>
  <c r="B27" i="72"/>
  <c r="J47" i="66"/>
  <c r="J77" i="66"/>
  <c r="N45" i="66"/>
  <c r="N75" i="66"/>
  <c r="G46" i="66"/>
  <c r="G76" i="66"/>
  <c r="C46" i="66"/>
  <c r="C76" i="66"/>
  <c r="J45" i="66"/>
  <c r="I46" i="66"/>
  <c r="I76" i="66"/>
  <c r="L76" i="66"/>
  <c r="L46" i="66"/>
  <c r="D89" i="66"/>
  <c r="K89" i="66" s="1"/>
  <c r="I89" i="66"/>
  <c r="J48" i="66"/>
  <c r="J78" i="66"/>
  <c r="B75" i="66"/>
  <c r="B45" i="66"/>
  <c r="E46" i="66"/>
  <c r="L77" i="66"/>
  <c r="L47" i="66"/>
  <c r="E93" i="65"/>
  <c r="D91" i="66"/>
  <c r="M45" i="66"/>
  <c r="B39" i="71"/>
  <c r="I39" i="71" s="1"/>
  <c r="C51" i="71" s="1"/>
  <c r="B38" i="71"/>
  <c r="I38" i="71" s="1"/>
  <c r="B40" i="71"/>
  <c r="I40" i="71" s="1"/>
  <c r="D51" i="71" s="1"/>
  <c r="I21" i="71"/>
  <c r="C26" i="72"/>
  <c r="C27" i="72" s="1"/>
  <c r="H21" i="72"/>
  <c r="K46" i="66"/>
  <c r="K76" i="66"/>
  <c r="D91" i="65"/>
  <c r="C88" i="66"/>
  <c r="J88" i="66" s="1"/>
  <c r="C101" i="72" l="1"/>
  <c r="B101" i="72"/>
  <c r="D95" i="72"/>
  <c r="E95" i="72" s="1"/>
  <c r="E90" i="66"/>
  <c r="D52" i="71"/>
  <c r="D26" i="72"/>
  <c r="J104" i="66"/>
  <c r="D104" i="66"/>
  <c r="J102" i="66"/>
  <c r="D102" i="66"/>
  <c r="I37" i="71"/>
  <c r="B51" i="71"/>
  <c r="B52" i="71" s="1"/>
  <c r="K91" i="66"/>
  <c r="E91" i="66"/>
  <c r="C101" i="66"/>
  <c r="E91" i="65"/>
  <c r="C52" i="71"/>
  <c r="I75" i="66"/>
  <c r="I45" i="66"/>
  <c r="D97" i="65"/>
  <c r="D98" i="65" s="1"/>
  <c r="B98" i="65"/>
  <c r="J103" i="66"/>
  <c r="D103" i="66"/>
  <c r="E89" i="66"/>
  <c r="D60" i="71"/>
  <c r="B61" i="71"/>
  <c r="B67" i="72"/>
  <c r="C67" i="72"/>
  <c r="D61" i="72"/>
  <c r="E61" i="72" s="1"/>
  <c r="D88" i="66"/>
  <c r="D106" i="72" l="1"/>
  <c r="D107" i="72" s="1"/>
  <c r="F106" i="72"/>
  <c r="F107" i="72" s="1"/>
  <c r="C106" i="72"/>
  <c r="C107" i="72" s="1"/>
  <c r="G106" i="72"/>
  <c r="G107" i="72" s="1"/>
  <c r="B106" i="72"/>
  <c r="B107" i="72" s="1"/>
  <c r="E106" i="72"/>
  <c r="E107" i="72" s="1"/>
  <c r="M106" i="72"/>
  <c r="M107" i="72" s="1"/>
  <c r="I106" i="72"/>
  <c r="I107" i="72" s="1"/>
  <c r="J106" i="72"/>
  <c r="J107" i="72" s="1"/>
  <c r="L106" i="72"/>
  <c r="L107" i="72" s="1"/>
  <c r="K106" i="72"/>
  <c r="K107" i="72" s="1"/>
  <c r="H106" i="72"/>
  <c r="H107" i="72" s="1"/>
  <c r="K103" i="66"/>
  <c r="E103" i="66"/>
  <c r="E26" i="72"/>
  <c r="C33" i="72"/>
  <c r="B33" i="72"/>
  <c r="D27" i="72"/>
  <c r="E27" i="72" s="1"/>
  <c r="E97" i="65"/>
  <c r="J101" i="66"/>
  <c r="D101" i="66"/>
  <c r="K104" i="66"/>
  <c r="E104" i="66"/>
  <c r="K88" i="66"/>
  <c r="E88" i="66"/>
  <c r="E60" i="71"/>
  <c r="C66" i="71"/>
  <c r="B66" i="71"/>
  <c r="D61" i="71"/>
  <c r="E61" i="71" s="1"/>
  <c r="K102" i="66"/>
  <c r="E102" i="66"/>
  <c r="L72" i="72"/>
  <c r="K72" i="72"/>
  <c r="H72" i="72"/>
  <c r="M72" i="72"/>
  <c r="J72" i="72"/>
  <c r="I72" i="72"/>
  <c r="E72" i="72"/>
  <c r="F72" i="72"/>
  <c r="D72" i="72"/>
  <c r="B72" i="72"/>
  <c r="G72" i="72"/>
  <c r="C72" i="72"/>
  <c r="H73" i="72" l="1"/>
  <c r="C71" i="71"/>
  <c r="B71" i="71"/>
  <c r="M73" i="72"/>
  <c r="K101" i="66"/>
  <c r="E101" i="66"/>
  <c r="C73" i="72"/>
  <c r="L73" i="72"/>
  <c r="D71" i="71"/>
  <c r="F71" i="71"/>
  <c r="E71" i="71"/>
  <c r="F38" i="72"/>
  <c r="G38" i="72"/>
  <c r="D38" i="72"/>
  <c r="C38" i="72"/>
  <c r="E38" i="72"/>
  <c r="B38" i="72"/>
  <c r="E73" i="72"/>
  <c r="G73" i="72"/>
  <c r="B73" i="72"/>
  <c r="K38" i="72"/>
  <c r="L38" i="72"/>
  <c r="H38" i="72"/>
  <c r="J38" i="72"/>
  <c r="M38" i="72"/>
  <c r="I38" i="72"/>
  <c r="K73" i="72"/>
  <c r="D73" i="72"/>
  <c r="I73" i="72"/>
  <c r="F73" i="72"/>
  <c r="J73" i="72"/>
  <c r="B39" i="72" l="1"/>
  <c r="I39" i="72"/>
  <c r="C39" i="72"/>
  <c r="M39" i="72"/>
  <c r="D39" i="72"/>
  <c r="J39" i="72"/>
  <c r="G39" i="72"/>
  <c r="C21" i="66"/>
  <c r="C72" i="71"/>
  <c r="H39" i="72"/>
  <c r="F39" i="72"/>
  <c r="J21" i="66"/>
  <c r="E72" i="71"/>
  <c r="L39" i="72"/>
  <c r="K21" i="66"/>
  <c r="F72" i="71"/>
  <c r="B21" i="66"/>
  <c r="B77" i="71"/>
  <c r="B72" i="71"/>
  <c r="E39" i="72"/>
  <c r="K39" i="72"/>
  <c r="I21" i="66"/>
  <c r="C77" i="71"/>
  <c r="C78" i="71" s="1"/>
  <c r="D72" i="71"/>
  <c r="I33" i="66" l="1"/>
  <c r="D77" i="71"/>
  <c r="B78" i="71"/>
  <c r="C33" i="66"/>
  <c r="K33" i="66"/>
  <c r="B33" i="66"/>
  <c r="J33" i="66"/>
  <c r="C87" i="66"/>
  <c r="J44" i="66" l="1"/>
  <c r="C94" i="66"/>
  <c r="J94" i="66" s="1"/>
  <c r="J87" i="66"/>
  <c r="B87" i="66"/>
  <c r="E77" i="71"/>
  <c r="C100" i="66"/>
  <c r="D78" i="71"/>
  <c r="D79" i="71" s="1"/>
  <c r="C44" i="66"/>
  <c r="I44" i="66"/>
  <c r="B44" i="66"/>
  <c r="K44" i="66"/>
  <c r="J100" i="66" l="1"/>
  <c r="C107" i="66"/>
  <c r="D100" i="66"/>
  <c r="B94" i="66"/>
  <c r="I87" i="66"/>
  <c r="D87" i="66"/>
  <c r="K87" i="66" s="1"/>
  <c r="E78" i="71"/>
  <c r="E87" i="66" l="1"/>
  <c r="I94" i="66"/>
  <c r="D94" i="66"/>
  <c r="K100" i="66"/>
  <c r="E100" i="66"/>
  <c r="J107" i="66"/>
  <c r="D107" i="66"/>
  <c r="K107" i="66" l="1"/>
  <c r="E107" i="66"/>
  <c r="E94" i="66"/>
  <c r="D95" i="66"/>
  <c r="K94" i="66"/>
</calcChain>
</file>

<file path=xl/sharedStrings.xml><?xml version="1.0" encoding="utf-8"?>
<sst xmlns="http://schemas.openxmlformats.org/spreadsheetml/2006/main" count="1316" uniqueCount="239">
  <si>
    <t>Nivel de Tensión</t>
  </si>
  <si>
    <t>TOTAL</t>
  </si>
  <si>
    <t>Transporte</t>
  </si>
  <si>
    <t>Periodo Tarifario</t>
  </si>
  <si>
    <t>Total</t>
  </si>
  <si>
    <t>Coste de Transporte y Distribución (%)</t>
  </si>
  <si>
    <t>Potencia</t>
  </si>
  <si>
    <t>Energía</t>
  </si>
  <si>
    <t>%</t>
  </si>
  <si>
    <t>Pérdidas</t>
  </si>
  <si>
    <t>NT0</t>
  </si>
  <si>
    <t>NT1</t>
  </si>
  <si>
    <t>NT2</t>
  </si>
  <si>
    <t>NT3</t>
  </si>
  <si>
    <t>NT4</t>
  </si>
  <si>
    <t>Periodo 1</t>
  </si>
  <si>
    <t>Periodo 2</t>
  </si>
  <si>
    <t>Periodo 3</t>
  </si>
  <si>
    <t>Periodo 4</t>
  </si>
  <si>
    <t>Periodo 5</t>
  </si>
  <si>
    <t>Periodo 6</t>
  </si>
  <si>
    <t>5.- Energía Consumida por nivel de tensión y periodo tarifario (GWh)</t>
  </si>
  <si>
    <t>6.- Potencia Contratada por nivel de tensión y periodo tarifario (MW)</t>
  </si>
  <si>
    <t>Nº horas</t>
  </si>
  <si>
    <t>Retribución del transporte</t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</si>
  <si>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TSO</t>
    </r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</si>
  <si>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Desvíos de ejercicios anteriores</t>
    </r>
  </si>
  <si>
    <t>TSO</t>
  </si>
  <si>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>Desvíos de ejercicios anteriores</t>
    </r>
  </si>
  <si>
    <t>+ Retribución distribución</t>
  </si>
  <si>
    <t>Retribución de la actividad de distribución que se recupera a través de peajes (miles €)</t>
  </si>
  <si>
    <t>Ingresos de peajes</t>
  </si>
  <si>
    <t xml:space="preserve">Retribución </t>
  </si>
  <si>
    <t>Retribución de la actividad de transporte que se recupera a través de peajes (miles €)</t>
  </si>
  <si>
    <t>1 kV &lt; NT &lt; 30 kV</t>
  </si>
  <si>
    <t>30 kV ≤ NT &lt; 72,5 kV</t>
  </si>
  <si>
    <t>72,5 kV ≤ NT &lt; 145 kV</t>
  </si>
  <si>
    <t>NT ≥ 145 kV</t>
  </si>
  <si>
    <t>Paso a escalones intermedios</t>
  </si>
  <si>
    <t>a 72,5-30 kV</t>
  </si>
  <si>
    <t>a 30-1 kV</t>
  </si>
  <si>
    <t>a BT</t>
  </si>
  <si>
    <t>Consumo</t>
  </si>
  <si>
    <t>%Consumo por NT</t>
  </si>
  <si>
    <t>Pérdidas (%)</t>
  </si>
  <si>
    <t>Flujos de energía (MWh). Periodo 1</t>
  </si>
  <si>
    <r>
      <t xml:space="preserve">NT 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1 kV</t>
    </r>
  </si>
  <si>
    <t>NT ≤ 1 kV</t>
  </si>
  <si>
    <t>Nivel de tensión</t>
  </si>
  <si>
    <r>
      <t>a</t>
    </r>
    <r>
      <rPr>
        <vertAlign val="superscript"/>
        <sz val="10"/>
        <color theme="0"/>
        <rFont val="Arial"/>
        <family val="2"/>
      </rPr>
      <t xml:space="preserve">i </t>
    </r>
    <r>
      <rPr>
        <vertAlign val="subscript"/>
        <sz val="10"/>
        <color theme="0"/>
        <rFont val="Arial"/>
        <family val="2"/>
      </rPr>
      <t>j, P</t>
    </r>
  </si>
  <si>
    <t>Nivel de tensión tarifario</t>
  </si>
  <si>
    <r>
      <t>a</t>
    </r>
    <r>
      <rPr>
        <vertAlign val="superscript"/>
        <sz val="12"/>
        <color theme="1"/>
        <rFont val="Arial"/>
        <family val="2"/>
      </rPr>
      <t xml:space="preserve">0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</si>
  <si>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>1 1</t>
    </r>
    <r>
      <rPr>
        <vertAlign val="subscript"/>
        <sz val="12"/>
        <color theme="1"/>
        <rFont val="Arial"/>
        <family val="2"/>
      </rPr>
      <t>, p</t>
    </r>
  </si>
  <si>
    <r>
      <t>a</t>
    </r>
    <r>
      <rPr>
        <vertAlign val="superscript"/>
        <sz val="12"/>
        <color theme="1"/>
        <rFont val="Arial"/>
        <family val="2"/>
      </rPr>
      <t xml:space="preserve">1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</si>
  <si>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</si>
  <si>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</si>
  <si>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</si>
  <si>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</si>
  <si>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</si>
  <si>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</si>
  <si>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</si>
  <si>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4,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</si>
  <si>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</si>
  <si>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>4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</si>
  <si>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</si>
  <si>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0, p</t>
    </r>
  </si>
  <si>
    <t>Asignación</t>
  </si>
  <si>
    <t>a 72,5 kV-145 kV</t>
  </si>
  <si>
    <t>Flujos de energía (MWh). Periodo 2</t>
  </si>
  <si>
    <t>Flujos de energía (MWh). Periodo 3</t>
  </si>
  <si>
    <t>Flujos de energía (MWh). Periodo 4</t>
  </si>
  <si>
    <t>Flujos de energía (MWh). Periodo 5</t>
  </si>
  <si>
    <t>Flujos de energía (MWh). Periodo 6</t>
  </si>
  <si>
    <t>Flujos de potencia (MW). Periodo 1</t>
  </si>
  <si>
    <t>Flujos de potencia (MW). Periodo 2</t>
  </si>
  <si>
    <t>Flujos de potencia (MW). Periodo 3</t>
  </si>
  <si>
    <t>Flujos de potencia (MW). Periodo 4</t>
  </si>
  <si>
    <t>Flujos de potencia (MW). Periodo 5</t>
  </si>
  <si>
    <t>Flujos de potencia (MW). Periodo 6</t>
  </si>
  <si>
    <t>Retribución de distribución</t>
  </si>
  <si>
    <t xml:space="preserve">NT2 </t>
  </si>
  <si>
    <t xml:space="preserve">NT1 </t>
  </si>
  <si>
    <t>Retribución de redes a recuperar por nivel de tensión tarifario 
(miles €)</t>
  </si>
  <si>
    <t>% de coste sobre total</t>
  </si>
  <si>
    <t>% de la retribución a recuperar a través del término de potencia</t>
  </si>
  <si>
    <t>Retribución de cada nivel de tensión tarifario a recuperar a través del término de potencia (miles €)</t>
  </si>
  <si>
    <t>% de la retribución a recuperar a través del término de energía</t>
  </si>
  <si>
    <t>Retribución de cada nivel de tensión tarifario a recuperar a través del término de energía (miles €)</t>
  </si>
  <si>
    <t>Retribución total</t>
  </si>
  <si>
    <t>Asignación del coste del nivel de tensión por periodo tarifario</t>
  </si>
  <si>
    <t>Periodo horario</t>
  </si>
  <si>
    <t>Participación de cada periodo en las H primeras horas de la monótona</t>
  </si>
  <si>
    <t>Término de potencia</t>
  </si>
  <si>
    <t>Término de energía</t>
  </si>
  <si>
    <t>Grupo tarifario</t>
  </si>
  <si>
    <t>2.0 TD</t>
  </si>
  <si>
    <t>3.0 TD</t>
  </si>
  <si>
    <t>6.1 TD</t>
  </si>
  <si>
    <t>6.2 TD</t>
  </si>
  <si>
    <t>6.3 TD</t>
  </si>
  <si>
    <t>6.4 TD</t>
  </si>
  <si>
    <t>Retribución a recuperar con cargo al término de potencia de los peajes en cada periodo horario (miles €) (A)</t>
  </si>
  <si>
    <t>Potencia contratada por periodo horario (MW) (B)</t>
  </si>
  <si>
    <t>Coste unitario a recuperar con cargo al término de potencia de los peajes en cada periodo horario (€/kW año) (A)/(B)</t>
  </si>
  <si>
    <t>Entradas</t>
  </si>
  <si>
    <t>1. Retribución que de Transporte y Distribución</t>
  </si>
  <si>
    <t>1.1 Retribución del transporte</t>
  </si>
  <si>
    <t>1.2. Retribución de la distribución</t>
  </si>
  <si>
    <t>Coste unitario a recuperar con cargo al término de energía de los peajes en cada periodo horario (€/kWh) (A)/(B)</t>
  </si>
  <si>
    <t>Energía consumida por periodo horario (MWh) (B)</t>
  </si>
  <si>
    <t>2. Relación de precios respecto del periodo 6</t>
  </si>
  <si>
    <t>3. Relación de precios respecto del nivel de tensión 4</t>
  </si>
  <si>
    <t>Fuente: Circular 4/2015, de 22 de julio, de la CNMC</t>
  </si>
  <si>
    <t>3. Asignación de la retribución entre potencia y energía</t>
  </si>
  <si>
    <t>2. Asignación de la retribución de la distribución por nivel de tensión</t>
  </si>
  <si>
    <t>4. Participación de los periodos en la H primeras horas de la mónotona</t>
  </si>
  <si>
    <t>4.1 Horas a efecto de la asignación de la retribución al término de potencia por periodo tarifario</t>
  </si>
  <si>
    <t>4.2 Horas a efecto de la asignación de la retribución al término de energia por periodo tarifario</t>
  </si>
  <si>
    <t>4. Diseño de precios</t>
  </si>
  <si>
    <t>Término de potencia de los peajes (€/kW año)</t>
  </si>
  <si>
    <t>Término de energía de los peajes (€/kWh)</t>
  </si>
  <si>
    <t>% potencia sobre total</t>
  </si>
  <si>
    <t>Facturación peaje de transporte (miles €)</t>
  </si>
  <si>
    <t>Retribución a recuperar con cargo al término de energía de los peajes en cada periodo horario (miles €) (A)</t>
  </si>
  <si>
    <t>3. Relación de precios respecto del nivel de tensión 3</t>
  </si>
  <si>
    <t>5. Facturación por peaje de distribución</t>
  </si>
  <si>
    <t>Facturación peaje de T&amp;D (miles €)</t>
  </si>
  <si>
    <t xml:space="preserve">Distribución </t>
  </si>
  <si>
    <t>% transporte sobre total</t>
  </si>
  <si>
    <t>Ingesos por peajes de transporte</t>
  </si>
  <si>
    <t>4. Facturación por peaje de transporte y  distribución</t>
  </si>
  <si>
    <t>4.1 Relación fijo vs variable</t>
  </si>
  <si>
    <t>4.2 Relación transporte vs distribución</t>
  </si>
  <si>
    <t>Retribución del propio nivel de tensión que se debe recuperar con cargo al término de energía de los peajes en cada periodo horario (miles €) (A)</t>
  </si>
  <si>
    <t>Término de energía de los peajes de autoconsumidores por la energía autoconsumida en el caso instalaciones próximas (€/kWh) (A)/(B)</t>
  </si>
  <si>
    <t>Peaje</t>
  </si>
  <si>
    <t>Periodo</t>
  </si>
  <si>
    <t xml:space="preserve">Discriminación horaria de tres periodos
</t>
  </si>
  <si>
    <t>Conversión de la facturación (miles €) de la DH6 a la DH3 (E) = (C) * (D)</t>
  </si>
  <si>
    <t>Peaje T&amp;D</t>
  </si>
  <si>
    <t>Energía por  periodo horario (MWh) (A)</t>
  </si>
  <si>
    <t xml:space="preserve">Facturación por término de energía (miles €) (C) = (A) * (B) </t>
  </si>
  <si>
    <t>Facturación por periodo de la DH3 
(miles €)</t>
  </si>
  <si>
    <t>Distribución</t>
  </si>
  <si>
    <t xml:space="preserve">Distribución
</t>
  </si>
  <si>
    <t>Término de enegía de los peajes  (€/kWh) (B)</t>
  </si>
  <si>
    <t>Total facturación (miles €)</t>
  </si>
  <si>
    <t>Total T&amp;D</t>
  </si>
  <si>
    <t>2. Ajuste de los precios a la relación fijo variable de 75%-25%</t>
  </si>
  <si>
    <t>Peaje T</t>
  </si>
  <si>
    <t>Peaje D</t>
  </si>
  <si>
    <t>Facturación peaje 2.0 TD (miles €)</t>
  </si>
  <si>
    <t>Coeficientes del peaje 2.0 TD</t>
  </si>
  <si>
    <t>Término de potencia
(A)</t>
  </si>
  <si>
    <t>Término de energía
(B)</t>
  </si>
  <si>
    <t>Total
(C)</t>
  </si>
  <si>
    <t>Término de potencia
(C) * 75% / (A)</t>
  </si>
  <si>
    <t>Término de energía
(C) * 25% / (B)</t>
  </si>
  <si>
    <t>Términos de energía de la DH3 (€/kWh) (E) / (F)</t>
  </si>
  <si>
    <t>1. Determinación del peaje 3.0 TDVE</t>
  </si>
  <si>
    <t>Potencia contratada (kW)</t>
  </si>
  <si>
    <t>Tiempo de recarga (min)</t>
  </si>
  <si>
    <t>Consumo por recarga (kWh)</t>
  </si>
  <si>
    <t>Hipótesis</t>
  </si>
  <si>
    <t>Utilización de la potencia</t>
  </si>
  <si>
    <t>Consumo anual (kWh)</t>
  </si>
  <si>
    <t>Facturación al peaje 3.0 TD (miles €)</t>
  </si>
  <si>
    <t>Coeficientes de ajuste para obtener el peaje 3.0 TDVE</t>
  </si>
  <si>
    <t>Término de potencia del peaje 3.0 TD (€/kW año) (A)</t>
  </si>
  <si>
    <t>Términos de energía del peaje 3.0 TD (€/kWh) (B)</t>
  </si>
  <si>
    <t>Término de potencia
(C)</t>
  </si>
  <si>
    <t>Término de energía
(D)</t>
  </si>
  <si>
    <t>Total
(E)</t>
  </si>
  <si>
    <t>Término de potencia
(F) = (E) * 20% / (C)</t>
  </si>
  <si>
    <t>Término de energía
(G) = (E) * 80% / (D)</t>
  </si>
  <si>
    <t>Término de potencia del peaje 3.0 TDVE (€/kW año) (A) * (F)</t>
  </si>
  <si>
    <t>Términos de energía del peaje 3.0 TDVE (€/kWh) (B) * (G)</t>
  </si>
  <si>
    <t>2. Determinación del peaje 6.1 TDVE</t>
  </si>
  <si>
    <t>Término de potencia del peaje 6.1 TD (€/kW año) (A)</t>
  </si>
  <si>
    <t>Términos de energía del peaje 6.1 TD (€/kWh) (B)</t>
  </si>
  <si>
    <t>Facturación al peaje 6.1 TD (miles €)</t>
  </si>
  <si>
    <t>I.- Datos de Entrada</t>
  </si>
  <si>
    <t>IIIa.- Coeficientes de asignación de la retribución de cada nivel tarifario y periodo al término de potencia del propio nivel de tensión y niveles de tensión inferiores, según calendario propuesto por la CNMC</t>
  </si>
  <si>
    <t>IIIb.- Coeficientes de asignación de la retribución de cada nivel tarifario y periodo al término de energía del propio nivel de tensión y niveles de tensión inferiores, según calendario propuesto por la CNMC</t>
  </si>
  <si>
    <t>IVa. Asignación de la retribución que se debe recuperar a través de los peajes por nivel de tensión</t>
  </si>
  <si>
    <t>IVb. Asignación de la retribución de cada nivel de tensión a los términos de potencia y energía</t>
  </si>
  <si>
    <t>IVc. Asignación de la retribución de cada nivel de tensión y término de facturación por periodo horario</t>
  </si>
  <si>
    <t>IVd. Asignación de la retribución de cada nivel de tensión a recuperar por  término de facturación y periodo al propio nivel de tensión y a niveles de tensión inferiores</t>
  </si>
  <si>
    <t>Va.1. Determinación de los peajes de transporte</t>
  </si>
  <si>
    <t>Vb.1. Determinación de los peajes de distribución</t>
  </si>
  <si>
    <t>VII.2. Relación de precios respecto del periodo 6</t>
  </si>
  <si>
    <t>IX. Peajes de aplicación a puntos de suministro dedicados en exclusividad a la recarga de vehículos electricos</t>
  </si>
  <si>
    <t>1. Asignación de la retribución de cada nivel de tensión que se recupera por el término de potencia por periodo horario</t>
  </si>
  <si>
    <t>2. Asignación de la retribución de cada nivel de tensión que se recupera por el término de energía por periodo horario</t>
  </si>
  <si>
    <t>1. Asignación de la retribución de cada nivel de tensión a recuperar por el término de potencia y periodo al propio nivel de tensión y a niveles de tensión inferiores</t>
  </si>
  <si>
    <t>2. Asignación de la retribución de cada nivel de tensión a recuperar por el término de energía y periodo al propio nivel de tensión y a niveles de tensión inferiores</t>
  </si>
  <si>
    <t>4. Facturación por peaje de transporte</t>
  </si>
  <si>
    <t>1. Peajes de distribución</t>
  </si>
  <si>
    <t>1. Peajes de transporte</t>
  </si>
  <si>
    <t>VI.Diseño del Peaje 2.0 TD</t>
  </si>
  <si>
    <t>1 Conversión del peaje 2.0 TD de seis periodos a tres periodos</t>
  </si>
  <si>
    <t>VII.1. Determinación de los peajes de transporte y distribución</t>
  </si>
  <si>
    <t>VII. Determinación de los pagos de autoconsumidores por la energía autoconsumida en el caso de instalaciones próximas</t>
  </si>
  <si>
    <t>Previsión de consumo por periodo de la DH3 (F)</t>
  </si>
  <si>
    <t>2.0 TD con 3P</t>
  </si>
  <si>
    <t>2.0 TD con 6P</t>
  </si>
  <si>
    <t>Discriminación horaria de tres periodos</t>
  </si>
  <si>
    <t>7.- Porcentajes de conversión del consumo de 3P a 6P</t>
  </si>
  <si>
    <t>Coeficientes de conversión de la discriminación horaria de seis periodos a tres periodos (D)</t>
  </si>
  <si>
    <t>8.- Porcentajes de conversión del consumo de 6P a 3P</t>
  </si>
  <si>
    <t>Fuente: Circular 3/2020</t>
  </si>
  <si>
    <t>Coeficientes de ajuste para obtener el peaje 6.1 TDVE</t>
  </si>
  <si>
    <t>Término de potencia del peaje 6.1 TDVE (€/kW año) (A) * (F)</t>
  </si>
  <si>
    <t>Términos de energía del peaje 6.1 TDVE (€/kWh) (B) * (G)</t>
  </si>
  <si>
    <t xml:space="preserve">1. Peajes de transporte </t>
  </si>
  <si>
    <t>Nota (1) y (2): valores redondeados a 6 cifras a efectos de su publicación</t>
  </si>
  <si>
    <t>2. Peajes de distribución</t>
  </si>
  <si>
    <t>3. Peajes de transporte y distribución</t>
  </si>
  <si>
    <t>Término de energía de los peajes de autoconsumidores por la energía autoconsumida en el caso instalaciones próximas (€/kWh) corregidas las discontinuidades</t>
  </si>
  <si>
    <t xml:space="preserve">Término de energía de los peajes de autoconsumidores por la energía autoconsumida en el caso instalaciones próximas (€/kWh) </t>
  </si>
  <si>
    <t>Excesos de potencia</t>
  </si>
  <si>
    <t>Energía reactiva</t>
  </si>
  <si>
    <t>Ingresos por peajes transporte</t>
  </si>
  <si>
    <t>Facturación media (€/MWh)</t>
  </si>
  <si>
    <t>Fuente: Previsión de retribución del transporte para el ejercicio 2024</t>
  </si>
  <si>
    <t>IIb.- Balances de energía. Circular 3/2020. Año 2023</t>
  </si>
  <si>
    <t>IIa.- Balances de potencia. Circular 3/2020. Año 2023</t>
  </si>
  <si>
    <t>Financiación electrointensivos</t>
  </si>
  <si>
    <t>Término de potencia del peaje 6.2 TD (€/kW año) (A)</t>
  </si>
  <si>
    <t>2. Determinación del peaje 6.2 TDVE</t>
  </si>
  <si>
    <t>Facturación al peaje 6.2 TD (miles €)</t>
  </si>
  <si>
    <t>Coeficientes de ajuste para obtener el peaje 6.2 TDVE</t>
  </si>
  <si>
    <t>Términos de energía del peaje 6.2 TD (€/kWh) (B)</t>
  </si>
  <si>
    <t>Términos de energía del peaje 6.2 TDVE (€/kWh) (B) * (G)</t>
  </si>
  <si>
    <t>Fuente: Curvas de carga de consumidores conectados en baja tensión con potencia contratada inferior a 15 kW. Sistema peninsular. Año 2023</t>
  </si>
  <si>
    <t>Fuente: Previsión de retribución de la distribución para el ejercicio 2024</t>
  </si>
  <si>
    <t>Fuente: Curvas de carga del sistema peninular, balances de energía, y calendario propuesta Circular para el ejercicio 2023</t>
  </si>
  <si>
    <t>Fuente: Previsión CNMC 2025</t>
  </si>
  <si>
    <t>Retribución provisional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</si>
</sst>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#,##0_ ;\-#,##0\ "/>
    <numFmt numFmtId="169" formatCode="0.0%"/>
    <numFmt numFmtId="170" formatCode="#,##0.000"/>
    <numFmt numFmtId="171" formatCode="_-\ #,##0\ _€_-;\-\ #,##0\ _€_-;_-\ &quot;-&quot;??\ _€_-;_-@_-"/>
    <numFmt numFmtId="172" formatCode="_-* #,##0\ _€_-;\-* #,##0\ _€_-;_-* &quot;-&quot;??\ _€_-;_-@_-"/>
    <numFmt numFmtId="173" formatCode="[$-C0A]mmm\-yy;@"/>
    <numFmt numFmtId="174" formatCode="_-* #,##0.0\ _P_t_a_-;\-* #,##0.0\ _P_t_a_-;_-* &quot;-&quot;\ _P_t_a_-;_-@_-"/>
    <numFmt numFmtId="175" formatCode="_-* #,##0.000\ _P_t_a_-;\-* #,##0.000\ _P_t_a_-;_-* &quot;-&quot;??\ _P_t_a_-;_-@_-"/>
    <numFmt numFmtId="176" formatCode="#,##0.00000"/>
    <numFmt numFmtId="178" formatCode="_-* #,##0.0000\ _€_-;\-* #,##0.0000\ _€_-;_-* &quot;-&quot;??\ _€_-;_-@_-"/>
    <numFmt numFmtId="179" formatCode="_-* #,##0\ _€_-;\-* #,##0\ _€_-;_-* &quot;-&quot;????\ _€_-;_-@_-"/>
    <numFmt numFmtId="180" formatCode="_-* #,##0.0\ _P_t_a_-;\-* #,##0.0\ _P_t_a_-;_-* &quot;-&quot;??\ _P_t_a_-;_-@_-"/>
    <numFmt numFmtId="181" formatCode="_-* #,##0.000000\ _€_-;\-* #,##0.000000\ _€_-;_-* &quot;-&quot;??\ _€_-;_-@_-"/>
    <numFmt numFmtId="182" formatCode="_-* #,##0\ _P_t_a_-;\-* #,##0\ _P_t_a_-;_-* &quot;-&quot;??\ _P_t_a_-;_-@_-"/>
    <numFmt numFmtId="183" formatCode="_-* #,##0.0000\ _€_-;\-* #,##0.0000\ _€_-;_-* &quot;-&quot;????\ _€_-;_-@_-"/>
    <numFmt numFmtId="184" formatCode="_-* #,##0.000000\ _€_-;\-* #,##0.000000\ _€_-;_-* &quot;-&quot;??????\ _€_-;_-@_-"/>
    <numFmt numFmtId="185" formatCode="_-* #,##0.0\ _€_-;\-* #,##0.0\ _€_-;_-* &quot;-&quot;?\ _€_-;_-@_-"/>
    <numFmt numFmtId="186" formatCode="_-* #,##0.0000000\ _P_t_a_-;\-* #,##0.0000000\ _P_t_a_-;_-* &quot;-&quot;??\ _P_t_a_-;_-@_-"/>
    <numFmt numFmtId="187" formatCode="_-* #,##0.0000\ _P_t_a_-;\-* #,##0.0000\ _P_t_a_-;_-* &quot;-&quot;??\ _P_t_a_-;_-@_-"/>
    <numFmt numFmtId="188" formatCode="_-* #,##0.000000\ _P_t_a_-;\-* #,##0.000000\ _P_t_a_-;_-* &quot;-&quot;??\ _P_t_a_-;_-@_-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</font>
    <font>
      <i/>
      <sz val="10"/>
      <color indexed="62"/>
      <name val="Arial"/>
      <family val="2"/>
    </font>
    <font>
      <sz val="10"/>
      <color indexed="6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color theme="0"/>
      <name val="Symbol"/>
      <family val="1"/>
      <charset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5"/>
      <name val="Arial"/>
      <family val="2"/>
    </font>
    <font>
      <b/>
      <sz val="14"/>
      <name val="Arial"/>
      <family val="2"/>
    </font>
    <font>
      <b/>
      <i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5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FF6D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</fills>
  <borders count="1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320">
    <xf numFmtId="0" fontId="0" fillId="0" borderId="0"/>
    <xf numFmtId="166" fontId="13" fillId="0" borderId="0" applyFont="0" applyFill="0" applyBorder="0" applyAlignment="0" applyProtection="0"/>
    <xf numFmtId="166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167" fontId="25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5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7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9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1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3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15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6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8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0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2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4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0" fillId="16" borderId="0" applyNumberFormat="0" applyBorder="0" applyAlignment="0" applyProtection="0"/>
    <xf numFmtId="173" fontId="13" fillId="0" borderId="0" applyFont="0" applyFill="0" applyBorder="0" applyAlignment="0" applyProtection="0"/>
    <xf numFmtId="3" fontId="30" fillId="17" borderId="0"/>
    <xf numFmtId="3" fontId="31" fillId="17" borderId="0"/>
    <xf numFmtId="166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2" fillId="0" borderId="0" applyFont="0" applyFill="0" applyBorder="0" applyAlignment="0" applyProtection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3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0" fontId="13" fillId="0" borderId="0"/>
    <xf numFmtId="173" fontId="13" fillId="0" borderId="0"/>
    <xf numFmtId="0" fontId="13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173" fontId="10" fillId="4" borderId="67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13" fillId="0" borderId="0"/>
    <xf numFmtId="165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173" fontId="32" fillId="20" borderId="0" applyNumberFormat="0" applyBorder="0" applyAlignment="0" applyProtection="0"/>
    <xf numFmtId="173" fontId="32" fillId="21" borderId="0" applyNumberFormat="0" applyBorder="0" applyAlignment="0" applyProtection="0"/>
    <xf numFmtId="173" fontId="32" fillId="22" borderId="0" applyNumberFormat="0" applyBorder="0" applyAlignment="0" applyProtection="0"/>
    <xf numFmtId="173" fontId="32" fillId="23" borderId="0" applyNumberFormat="0" applyBorder="0" applyAlignment="0" applyProtection="0"/>
    <xf numFmtId="173" fontId="32" fillId="24" borderId="0" applyNumberFormat="0" applyBorder="0" applyAlignment="0" applyProtection="0"/>
    <xf numFmtId="173" fontId="32" fillId="25" borderId="0" applyNumberFormat="0" applyBorder="0" applyAlignment="0" applyProtection="0"/>
    <xf numFmtId="173" fontId="32" fillId="26" borderId="0" applyNumberFormat="0" applyBorder="0" applyAlignment="0" applyProtection="0"/>
    <xf numFmtId="173" fontId="32" fillId="27" borderId="0" applyNumberFormat="0" applyBorder="0" applyAlignment="0" applyProtection="0"/>
    <xf numFmtId="173" fontId="32" fillId="28" borderId="0" applyNumberFormat="0" applyBorder="0" applyAlignment="0" applyProtection="0"/>
    <xf numFmtId="173" fontId="32" fillId="23" borderId="0" applyNumberFormat="0" applyBorder="0" applyAlignment="0" applyProtection="0"/>
    <xf numFmtId="173" fontId="32" fillId="26" borderId="0" applyNumberFormat="0" applyBorder="0" applyAlignment="0" applyProtection="0"/>
    <xf numFmtId="173" fontId="32" fillId="29" borderId="0" applyNumberFormat="0" applyBorder="0" applyAlignment="0" applyProtection="0"/>
    <xf numFmtId="173" fontId="35" fillId="30" borderId="0" applyNumberFormat="0" applyBorder="0" applyAlignment="0" applyProtection="0"/>
    <xf numFmtId="173" fontId="35" fillId="27" borderId="0" applyNumberFormat="0" applyBorder="0" applyAlignment="0" applyProtection="0"/>
    <xf numFmtId="173" fontId="35" fillId="28" borderId="0" applyNumberFormat="0" applyBorder="0" applyAlignment="0" applyProtection="0"/>
    <xf numFmtId="173" fontId="35" fillId="31" borderId="0" applyNumberFormat="0" applyBorder="0" applyAlignment="0" applyProtection="0"/>
    <xf numFmtId="173" fontId="35" fillId="32" borderId="0" applyNumberFormat="0" applyBorder="0" applyAlignment="0" applyProtection="0"/>
    <xf numFmtId="173" fontId="35" fillId="33" borderId="0" applyNumberFormat="0" applyBorder="0" applyAlignment="0" applyProtection="0"/>
    <xf numFmtId="173" fontId="35" fillId="34" borderId="0" applyNumberFormat="0" applyBorder="0" applyAlignment="0" applyProtection="0"/>
    <xf numFmtId="173" fontId="32" fillId="35" borderId="0" applyNumberFormat="0" applyBorder="0" applyAlignment="0" applyProtection="0"/>
    <xf numFmtId="173" fontId="32" fillId="35" borderId="0" applyNumberFormat="0" applyBorder="0" applyAlignment="0" applyProtection="0"/>
    <xf numFmtId="173" fontId="35" fillId="36" borderId="0" applyNumberFormat="0" applyBorder="0" applyAlignment="0" applyProtection="0"/>
    <xf numFmtId="173" fontId="35" fillId="37" borderId="0" applyNumberFormat="0" applyBorder="0" applyAlignment="0" applyProtection="0"/>
    <xf numFmtId="173" fontId="32" fillId="38" borderId="0" applyNumberFormat="0" applyBorder="0" applyAlignment="0" applyProtection="0"/>
    <xf numFmtId="173" fontId="32" fillId="39" borderId="0" applyNumberFormat="0" applyBorder="0" applyAlignment="0" applyProtection="0"/>
    <xf numFmtId="173" fontId="35" fillId="40" borderId="0" applyNumberFormat="0" applyBorder="0" applyAlignment="0" applyProtection="0"/>
    <xf numFmtId="173" fontId="35" fillId="40" borderId="0" applyNumberFormat="0" applyBorder="0" applyAlignment="0" applyProtection="0"/>
    <xf numFmtId="173" fontId="32" fillId="38" borderId="0" applyNumberFormat="0" applyBorder="0" applyAlignment="0" applyProtection="0"/>
    <xf numFmtId="173" fontId="32" fillId="41" borderId="0" applyNumberFormat="0" applyBorder="0" applyAlignment="0" applyProtection="0"/>
    <xf numFmtId="173" fontId="35" fillId="39" borderId="0" applyNumberFormat="0" applyBorder="0" applyAlignment="0" applyProtection="0"/>
    <xf numFmtId="173" fontId="35" fillId="34" borderId="0" applyNumberFormat="0" applyBorder="0" applyAlignment="0" applyProtection="0"/>
    <xf numFmtId="173" fontId="32" fillId="35" borderId="0" applyNumberFormat="0" applyBorder="0" applyAlignment="0" applyProtection="0"/>
    <xf numFmtId="173" fontId="32" fillId="39" borderId="0" applyNumberFormat="0" applyBorder="0" applyAlignment="0" applyProtection="0"/>
    <xf numFmtId="173" fontId="35" fillId="39" borderId="0" applyNumberFormat="0" applyBorder="0" applyAlignment="0" applyProtection="0"/>
    <xf numFmtId="173" fontId="35" fillId="42" borderId="0" applyNumberFormat="0" applyBorder="0" applyAlignment="0" applyProtection="0"/>
    <xf numFmtId="173" fontId="32" fillId="43" borderId="0" applyNumberFormat="0" applyBorder="0" applyAlignment="0" applyProtection="0"/>
    <xf numFmtId="173" fontId="32" fillId="35" borderId="0" applyNumberFormat="0" applyBorder="0" applyAlignment="0" applyProtection="0"/>
    <xf numFmtId="173" fontId="35" fillId="36" borderId="0" applyNumberFormat="0" applyBorder="0" applyAlignment="0" applyProtection="0"/>
    <xf numFmtId="173" fontId="35" fillId="44" borderId="0" applyNumberFormat="0" applyBorder="0" applyAlignment="0" applyProtection="0"/>
    <xf numFmtId="173" fontId="32" fillId="38" borderId="0" applyNumberFormat="0" applyBorder="0" applyAlignment="0" applyProtection="0"/>
    <xf numFmtId="173" fontId="32" fillId="45" borderId="0" applyNumberFormat="0" applyBorder="0" applyAlignment="0" applyProtection="0"/>
    <xf numFmtId="173" fontId="35" fillId="45" borderId="0" applyNumberFormat="0" applyBorder="0" applyAlignment="0" applyProtection="0"/>
    <xf numFmtId="173" fontId="36" fillId="46" borderId="0" applyNumberFormat="0" applyBorder="0" applyAlignment="0" applyProtection="0"/>
    <xf numFmtId="173" fontId="37" fillId="47" borderId="74" applyNumberFormat="0" applyAlignment="0" applyProtection="0"/>
    <xf numFmtId="173" fontId="38" fillId="40" borderId="75" applyNumberFormat="0" applyAlignment="0" applyProtection="0"/>
    <xf numFmtId="173" fontId="39" fillId="48" borderId="0" applyNumberFormat="0" applyBorder="0" applyAlignment="0" applyProtection="0"/>
    <xf numFmtId="173" fontId="39" fillId="49" borderId="0" applyNumberFormat="0" applyBorder="0" applyAlignment="0" applyProtection="0"/>
    <xf numFmtId="173" fontId="39" fillId="50" borderId="0" applyNumberFormat="0" applyBorder="0" applyAlignment="0" applyProtection="0"/>
    <xf numFmtId="173" fontId="40" fillId="0" borderId="0" applyNumberFormat="0" applyFill="0" applyBorder="0" applyAlignment="0" applyProtection="0"/>
    <xf numFmtId="173" fontId="41" fillId="41" borderId="0" applyNumberFormat="0" applyBorder="0" applyAlignment="0" applyProtection="0"/>
    <xf numFmtId="173" fontId="42" fillId="0" borderId="76" applyNumberFormat="0" applyFill="0" applyAlignment="0" applyProtection="0"/>
    <xf numFmtId="173" fontId="43" fillId="0" borderId="77" applyNumberFormat="0" applyFill="0" applyAlignment="0" applyProtection="0"/>
    <xf numFmtId="173" fontId="44" fillId="0" borderId="78" applyNumberFormat="0" applyFill="0" applyAlignment="0" applyProtection="0"/>
    <xf numFmtId="173" fontId="44" fillId="0" borderId="0" applyNumberFormat="0" applyFill="0" applyBorder="0" applyAlignment="0" applyProtection="0"/>
    <xf numFmtId="173" fontId="45" fillId="45" borderId="74" applyNumberFormat="0" applyAlignment="0" applyProtection="0"/>
    <xf numFmtId="173" fontId="46" fillId="0" borderId="79" applyNumberFormat="0" applyFill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3" fontId="8" fillId="0" borderId="0"/>
    <xf numFmtId="173" fontId="13" fillId="38" borderId="73" applyNumberFormat="0" applyFont="0" applyAlignment="0" applyProtection="0"/>
    <xf numFmtId="173" fontId="47" fillId="47" borderId="80" applyNumberFormat="0" applyAlignment="0" applyProtection="0"/>
    <xf numFmtId="9" fontId="13" fillId="0" borderId="0" applyFont="0" applyFill="0" applyBorder="0" applyAlignment="0" applyProtection="0"/>
    <xf numFmtId="173" fontId="48" fillId="0" borderId="0" applyNumberFormat="0" applyFill="0" applyBorder="0" applyAlignment="0" applyProtection="0"/>
    <xf numFmtId="173" fontId="49" fillId="0" borderId="0" applyNumberFormat="0" applyFill="0" applyBorder="0" applyAlignment="0" applyProtection="0"/>
    <xf numFmtId="173" fontId="50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6" fillId="0" borderId="0"/>
    <xf numFmtId="0" fontId="13" fillId="0" borderId="0"/>
    <xf numFmtId="165" fontId="1" fillId="0" borderId="0" applyFont="0" applyFill="0" applyBorder="0" applyAlignment="0" applyProtection="0"/>
    <xf numFmtId="0" fontId="1" fillId="0" borderId="0"/>
  </cellStyleXfs>
  <cellXfs count="648">
    <xf numFmtId="0" fontId="0" fillId="0" borderId="0" xfId="0"/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8" fontId="0" fillId="0" borderId="2" xfId="1" applyNumberFormat="1" applyFont="1" applyBorder="1" applyAlignment="1">
      <alignment horizontal="center" vertical="center"/>
    </xf>
    <xf numFmtId="9" fontId="0" fillId="0" borderId="13" xfId="3" applyFont="1" applyBorder="1" applyAlignment="1">
      <alignment vertical="center"/>
    </xf>
    <xf numFmtId="9" fontId="0" fillId="0" borderId="14" xfId="3" applyFont="1" applyBorder="1" applyAlignment="1">
      <alignment vertical="center"/>
    </xf>
    <xf numFmtId="9" fontId="0" fillId="0" borderId="15" xfId="3" applyFont="1" applyBorder="1" applyAlignment="1">
      <alignment vertical="center"/>
    </xf>
    <xf numFmtId="9" fontId="0" fillId="0" borderId="0" xfId="3" applyFont="1" applyAlignment="1">
      <alignment vertical="center"/>
    </xf>
    <xf numFmtId="3" fontId="14" fillId="0" borderId="0" xfId="0" applyNumberFormat="1" applyFont="1" applyAlignment="1">
      <alignment vertical="center"/>
    </xf>
    <xf numFmtId="166" fontId="0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3" fontId="21" fillId="0" borderId="0" xfId="0" applyNumberFormat="1" applyFont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69" fontId="0" fillId="0" borderId="21" xfId="3" applyNumberFormat="1" applyFont="1" applyBorder="1" applyAlignment="1">
      <alignment vertical="center"/>
    </xf>
    <xf numFmtId="169" fontId="0" fillId="0" borderId="22" xfId="3" applyNumberFormat="1" applyFont="1" applyBorder="1" applyAlignment="1">
      <alignment vertical="center"/>
    </xf>
    <xf numFmtId="169" fontId="0" fillId="0" borderId="23" xfId="3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26" fillId="0" borderId="0" xfId="0" applyFont="1"/>
    <xf numFmtId="0" fontId="28" fillId="0" borderId="0" xfId="0" applyFont="1"/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3" borderId="7" xfId="0" applyFont="1" applyFill="1" applyBorder="1" applyAlignment="1">
      <alignment horizontal="centerContinuous" vertical="center" wrapText="1"/>
    </xf>
    <xf numFmtId="0" fontId="16" fillId="3" borderId="6" xfId="0" applyFont="1" applyFill="1" applyBorder="1" applyAlignment="1">
      <alignment horizontal="centerContinuous" vertical="center" wrapText="1"/>
    </xf>
    <xf numFmtId="0" fontId="16" fillId="3" borderId="8" xfId="0" applyFont="1" applyFill="1" applyBorder="1" applyAlignment="1">
      <alignment horizontal="centerContinuous" vertical="center" wrapText="1"/>
    </xf>
    <xf numFmtId="0" fontId="16" fillId="3" borderId="9" xfId="0" applyFont="1" applyFill="1" applyBorder="1" applyAlignment="1">
      <alignment horizontal="centerContinuous" vertical="center" wrapText="1"/>
    </xf>
    <xf numFmtId="0" fontId="14" fillId="19" borderId="35" xfId="0" applyFont="1" applyFill="1" applyBorder="1" applyAlignment="1">
      <alignment horizontal="center" vertical="center"/>
    </xf>
    <xf numFmtId="169" fontId="14" fillId="19" borderId="20" xfId="3" applyNumberFormat="1" applyFont="1" applyFill="1" applyBorder="1" applyAlignment="1">
      <alignment horizontal="center" vertical="center"/>
    </xf>
    <xf numFmtId="169" fontId="14" fillId="19" borderId="17" xfId="3" applyNumberFormat="1" applyFont="1" applyFill="1" applyBorder="1" applyAlignment="1">
      <alignment horizontal="center" vertical="center"/>
    </xf>
    <xf numFmtId="166" fontId="24" fillId="18" borderId="30" xfId="1" applyFont="1" applyFill="1" applyBorder="1" applyAlignment="1">
      <alignment vertical="center"/>
    </xf>
    <xf numFmtId="169" fontId="0" fillId="0" borderId="0" xfId="0" applyNumberFormat="1" applyAlignment="1">
      <alignment vertical="center"/>
    </xf>
    <xf numFmtId="169" fontId="14" fillId="19" borderId="17" xfId="3" applyNumberFormat="1" applyFont="1" applyFill="1" applyBorder="1" applyAlignment="1">
      <alignment vertical="center"/>
    </xf>
    <xf numFmtId="174" fontId="0" fillId="0" borderId="0" xfId="1" applyNumberFormat="1" applyFont="1" applyAlignment="1">
      <alignment vertical="center"/>
    </xf>
    <xf numFmtId="167" fontId="0" fillId="0" borderId="0" xfId="8" applyFont="1"/>
    <xf numFmtId="171" fontId="28" fillId="0" borderId="0" xfId="0" applyNumberFormat="1" applyFont="1"/>
    <xf numFmtId="171" fontId="26" fillId="0" borderId="0" xfId="0" applyNumberFormat="1" applyFont="1" applyAlignment="1">
      <alignment vertical="center"/>
    </xf>
    <xf numFmtId="169" fontId="14" fillId="0" borderId="0" xfId="0" applyNumberFormat="1" applyFont="1" applyAlignment="1">
      <alignment vertical="center"/>
    </xf>
    <xf numFmtId="168" fontId="0" fillId="0" borderId="3" xfId="1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0" fontId="0" fillId="0" borderId="0" xfId="3" applyNumberFormat="1" applyFont="1" applyAlignment="1">
      <alignment vertical="center"/>
    </xf>
    <xf numFmtId="0" fontId="14" fillId="19" borderId="53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0" fontId="0" fillId="0" borderId="13" xfId="3" applyNumberFormat="1" applyFont="1" applyBorder="1" applyAlignment="1">
      <alignment horizontal="right" vertical="center" indent="2"/>
    </xf>
    <xf numFmtId="10" fontId="0" fillId="0" borderId="14" xfId="3" applyNumberFormat="1" applyFont="1" applyBorder="1" applyAlignment="1">
      <alignment horizontal="right" vertical="center" indent="2"/>
    </xf>
    <xf numFmtId="10" fontId="0" fillId="0" borderId="15" xfId="3" applyNumberFormat="1" applyFont="1" applyBorder="1" applyAlignment="1">
      <alignment horizontal="right" vertical="center" indent="2"/>
    </xf>
    <xf numFmtId="10" fontId="14" fillId="19" borderId="17" xfId="3" applyNumberFormat="1" applyFont="1" applyFill="1" applyBorder="1" applyAlignment="1">
      <alignment horizontal="right" vertical="center" indent="2"/>
    </xf>
    <xf numFmtId="0" fontId="14" fillId="19" borderId="4" xfId="0" applyFont="1" applyFill="1" applyBorder="1" applyAlignment="1">
      <alignment horizontal="left" vertical="center" indent="1"/>
    </xf>
    <xf numFmtId="0" fontId="13" fillId="0" borderId="3" xfId="0" applyFont="1" applyBorder="1" applyAlignment="1">
      <alignment horizontal="center" vertical="center"/>
    </xf>
    <xf numFmtId="0" fontId="51" fillId="0" borderId="0" xfId="0" applyFont="1"/>
    <xf numFmtId="0" fontId="13" fillId="0" borderId="1" xfId="0" applyFont="1" applyBorder="1" applyAlignment="1">
      <alignment horizontal="center" vertical="center"/>
    </xf>
    <xf numFmtId="0" fontId="23" fillId="51" borderId="95" xfId="0" applyFont="1" applyFill="1" applyBorder="1" applyAlignment="1">
      <alignment horizontal="center" vertical="center" wrapText="1"/>
    </xf>
    <xf numFmtId="0" fontId="52" fillId="51" borderId="96" xfId="0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5" fillId="0" borderId="52" xfId="0" applyFont="1" applyBorder="1" applyAlignment="1">
      <alignment horizontal="center" vertical="center"/>
    </xf>
    <xf numFmtId="0" fontId="55" fillId="0" borderId="71" xfId="0" applyFont="1" applyBorder="1" applyAlignment="1">
      <alignment horizontal="center" vertical="center"/>
    </xf>
    <xf numFmtId="0" fontId="55" fillId="0" borderId="97" xfId="0" applyFont="1" applyBorder="1" applyAlignment="1">
      <alignment horizontal="center" vertical="center"/>
    </xf>
    <xf numFmtId="0" fontId="55" fillId="0" borderId="72" xfId="0" applyFont="1" applyBorder="1" applyAlignment="1">
      <alignment horizontal="center" vertical="center"/>
    </xf>
    <xf numFmtId="0" fontId="23" fillId="51" borderId="96" xfId="0" applyFont="1" applyFill="1" applyBorder="1" applyAlignment="1">
      <alignment horizontal="center" vertical="center"/>
    </xf>
    <xf numFmtId="4" fontId="6" fillId="0" borderId="21" xfId="0" applyNumberFormat="1" applyFont="1" applyBorder="1" applyAlignment="1">
      <alignment horizontal="center" vertical="center"/>
    </xf>
    <xf numFmtId="4" fontId="6" fillId="0" borderId="91" xfId="0" applyNumberFormat="1" applyFont="1" applyBorder="1" applyAlignment="1">
      <alignment horizontal="center" vertical="center"/>
    </xf>
    <xf numFmtId="4" fontId="6" fillId="0" borderId="98" xfId="0" applyNumberFormat="1" applyFont="1" applyBorder="1" applyAlignment="1">
      <alignment horizontal="center" vertical="center"/>
    </xf>
    <xf numFmtId="4" fontId="6" fillId="0" borderId="93" xfId="0" applyNumberFormat="1" applyFont="1" applyBorder="1" applyAlignment="1">
      <alignment horizontal="center" vertical="center"/>
    </xf>
    <xf numFmtId="0" fontId="23" fillId="51" borderId="99" xfId="0" applyFont="1" applyFill="1" applyBorder="1" applyAlignment="1">
      <alignment horizontal="center" vertical="center"/>
    </xf>
    <xf numFmtId="170" fontId="6" fillId="0" borderId="21" xfId="0" applyNumberFormat="1" applyFont="1" applyBorder="1" applyAlignment="1">
      <alignment horizontal="center" vertical="center"/>
    </xf>
    <xf numFmtId="170" fontId="6" fillId="0" borderId="91" xfId="0" applyNumberFormat="1" applyFont="1" applyBorder="1" applyAlignment="1">
      <alignment horizontal="center" vertical="center"/>
    </xf>
    <xf numFmtId="170" fontId="6" fillId="0" borderId="98" xfId="0" applyNumberFormat="1" applyFont="1" applyBorder="1" applyAlignment="1">
      <alignment horizontal="center" vertical="center"/>
    </xf>
    <xf numFmtId="170" fontId="6" fillId="0" borderId="93" xfId="0" applyNumberFormat="1" applyFont="1" applyBorder="1" applyAlignment="1">
      <alignment horizontal="center" vertical="center"/>
    </xf>
    <xf numFmtId="175" fontId="0" fillId="0" borderId="0" xfId="8" applyNumberFormat="1" applyFont="1"/>
    <xf numFmtId="176" fontId="0" fillId="0" borderId="0" xfId="0" applyNumberFormat="1"/>
    <xf numFmtId="170" fontId="6" fillId="0" borderId="13" xfId="0" applyNumberFormat="1" applyFont="1" applyBorder="1" applyAlignment="1">
      <alignment horizontal="center" vertical="center"/>
    </xf>
    <xf numFmtId="170" fontId="6" fillId="0" borderId="92" xfId="0" applyNumberFormat="1" applyFont="1" applyBorder="1" applyAlignment="1">
      <alignment horizontal="center" vertical="center"/>
    </xf>
    <xf numFmtId="170" fontId="6" fillId="0" borderId="70" xfId="0" applyNumberFormat="1" applyFont="1" applyBorder="1" applyAlignment="1">
      <alignment horizontal="center" vertical="center"/>
    </xf>
    <xf numFmtId="170" fontId="6" fillId="0" borderId="8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172" fontId="24" fillId="0" borderId="82" xfId="8" applyNumberFormat="1" applyFont="1" applyBorder="1" applyAlignment="1">
      <alignment vertical="center"/>
    </xf>
    <xf numFmtId="172" fontId="24" fillId="0" borderId="104" xfId="8" applyNumberFormat="1" applyFont="1" applyBorder="1" applyAlignment="1">
      <alignment vertical="center"/>
    </xf>
    <xf numFmtId="172" fontId="24" fillId="0" borderId="32" xfId="8" applyNumberFormat="1" applyFont="1" applyBorder="1" applyAlignment="1">
      <alignment vertical="center"/>
    </xf>
    <xf numFmtId="172" fontId="24" fillId="0" borderId="37" xfId="8" applyNumberFormat="1" applyFont="1" applyBorder="1" applyAlignment="1">
      <alignment vertical="center"/>
    </xf>
    <xf numFmtId="169" fontId="24" fillId="0" borderId="105" xfId="0" applyNumberFormat="1" applyFont="1" applyBorder="1" applyAlignment="1">
      <alignment horizontal="center" vertical="center"/>
    </xf>
    <xf numFmtId="10" fontId="24" fillId="0" borderId="106" xfId="3" applyNumberFormat="1" applyFont="1" applyBorder="1" applyAlignment="1">
      <alignment horizontal="center" vertical="center"/>
    </xf>
    <xf numFmtId="10" fontId="24" fillId="0" borderId="38" xfId="3" applyNumberFormat="1" applyFont="1" applyBorder="1" applyAlignment="1">
      <alignment horizontal="center" vertical="center"/>
    </xf>
    <xf numFmtId="10" fontId="24" fillId="0" borderId="29" xfId="3" applyNumberFormat="1" applyFont="1" applyBorder="1" applyAlignment="1">
      <alignment horizontal="center" vertical="center"/>
    </xf>
    <xf numFmtId="0" fontId="23" fillId="52" borderId="16" xfId="0" applyFont="1" applyFill="1" applyBorder="1" applyAlignment="1">
      <alignment horizontal="center" vertical="center" wrapText="1"/>
    </xf>
    <xf numFmtId="0" fontId="23" fillId="52" borderId="51" xfId="0" applyFont="1" applyFill="1" applyBorder="1" applyAlignment="1">
      <alignment horizontal="center" vertical="center" wrapText="1"/>
    </xf>
    <xf numFmtId="0" fontId="23" fillId="53" borderId="100" xfId="0" applyFont="1" applyFill="1" applyBorder="1" applyAlignment="1">
      <alignment horizontal="centerContinuous" vertical="center" wrapText="1"/>
    </xf>
    <xf numFmtId="0" fontId="23" fillId="53" borderId="54" xfId="0" applyFont="1" applyFill="1" applyBorder="1" applyAlignment="1">
      <alignment horizontal="centerContinuous" vertical="center" wrapText="1"/>
    </xf>
    <xf numFmtId="0" fontId="23" fillId="53" borderId="55" xfId="0" applyFont="1" applyFill="1" applyBorder="1" applyAlignment="1">
      <alignment horizontal="centerContinuous" vertical="center" wrapText="1"/>
    </xf>
    <xf numFmtId="0" fontId="23" fillId="53" borderId="101" xfId="0" applyFont="1" applyFill="1" applyBorder="1" applyAlignment="1">
      <alignment horizontal="center" vertical="center" wrapText="1"/>
    </xf>
    <xf numFmtId="0" fontId="23" fillId="53" borderId="102" xfId="0" applyFont="1" applyFill="1" applyBorder="1" applyAlignment="1">
      <alignment horizontal="center" vertical="center" wrapText="1"/>
    </xf>
    <xf numFmtId="0" fontId="23" fillId="53" borderId="103" xfId="0" applyFont="1" applyFill="1" applyBorder="1" applyAlignment="1">
      <alignment horizontal="center" vertical="center" wrapText="1"/>
    </xf>
    <xf numFmtId="0" fontId="24" fillId="0" borderId="0" xfId="0" applyFont="1"/>
    <xf numFmtId="9" fontId="24" fillId="0" borderId="26" xfId="0" applyNumberFormat="1" applyFont="1" applyBorder="1" applyAlignment="1">
      <alignment horizontal="right" vertical="center" indent="1"/>
    </xf>
    <xf numFmtId="9" fontId="24" fillId="0" borderId="85" xfId="3" applyFont="1" applyBorder="1" applyAlignment="1">
      <alignment horizontal="right" vertical="center" indent="1"/>
    </xf>
    <xf numFmtId="9" fontId="24" fillId="0" borderId="28" xfId="3" applyFont="1" applyBorder="1" applyAlignment="1">
      <alignment horizontal="right" vertical="center" indent="1"/>
    </xf>
    <xf numFmtId="169" fontId="24" fillId="0" borderId="81" xfId="3" applyNumberFormat="1" applyFont="1" applyBorder="1" applyAlignment="1">
      <alignment horizontal="right" vertical="center" indent="1"/>
    </xf>
    <xf numFmtId="172" fontId="24" fillId="0" borderId="27" xfId="8" applyNumberFormat="1" applyFont="1" applyBorder="1" applyAlignment="1">
      <alignment vertical="center"/>
    </xf>
    <xf numFmtId="172" fontId="24" fillId="0" borderId="38" xfId="8" applyNumberFormat="1" applyFont="1" applyBorder="1" applyAlignment="1">
      <alignment vertical="center"/>
    </xf>
    <xf numFmtId="172" fontId="24" fillId="0" borderId="29" xfId="8" applyNumberFormat="1" applyFont="1" applyBorder="1" applyAlignment="1">
      <alignment vertical="center"/>
    </xf>
    <xf numFmtId="172" fontId="24" fillId="0" borderId="105" xfId="8" applyNumberFormat="1" applyFont="1" applyBorder="1" applyAlignment="1">
      <alignment vertical="center"/>
    </xf>
    <xf numFmtId="172" fontId="24" fillId="0" borderId="0" xfId="8" applyNumberFormat="1" applyFont="1" applyBorder="1" applyAlignment="1">
      <alignment vertical="center"/>
    </xf>
    <xf numFmtId="0" fontId="16" fillId="2" borderId="60" xfId="212" applyFont="1" applyFill="1" applyBorder="1" applyAlignment="1">
      <alignment horizontal="centerContinuous" vertical="center" wrapText="1"/>
    </xf>
    <xf numFmtId="0" fontId="16" fillId="2" borderId="39" xfId="212" applyFont="1" applyFill="1" applyBorder="1" applyAlignment="1">
      <alignment horizontal="centerContinuous" vertical="center" wrapText="1"/>
    </xf>
    <xf numFmtId="0" fontId="16" fillId="2" borderId="31" xfId="212" applyFont="1" applyFill="1" applyBorder="1" applyAlignment="1">
      <alignment horizontal="centerContinuous" vertical="center" wrapText="1"/>
    </xf>
    <xf numFmtId="0" fontId="33" fillId="51" borderId="6" xfId="0" applyFont="1" applyFill="1" applyBorder="1" applyAlignment="1">
      <alignment horizontal="centerContinuous" vertical="center" wrapText="1"/>
    </xf>
    <xf numFmtId="0" fontId="33" fillId="51" borderId="7" xfId="0" applyFont="1" applyFill="1" applyBorder="1" applyAlignment="1">
      <alignment horizontal="centerContinuous" vertical="center" wrapText="1"/>
    </xf>
    <xf numFmtId="0" fontId="33" fillId="51" borderId="5" xfId="0" applyFont="1" applyFill="1" applyBorder="1" applyAlignment="1">
      <alignment horizontal="centerContinuous" vertical="center" wrapText="1"/>
    </xf>
    <xf numFmtId="0" fontId="33" fillId="51" borderId="8" xfId="0" applyFont="1" applyFill="1" applyBorder="1" applyAlignment="1">
      <alignment horizontal="centerContinuous" vertical="center" wrapText="1"/>
    </xf>
    <xf numFmtId="0" fontId="33" fillId="51" borderId="9" xfId="0" applyFont="1" applyFill="1" applyBorder="1" applyAlignment="1">
      <alignment horizontal="centerContinuous" vertical="center" wrapText="1"/>
    </xf>
    <xf numFmtId="0" fontId="33" fillId="51" borderId="40" xfId="0" applyFont="1" applyFill="1" applyBorder="1" applyAlignment="1">
      <alignment horizontal="centerContinuous" vertical="center" wrapText="1"/>
    </xf>
    <xf numFmtId="169" fontId="5" fillId="0" borderId="18" xfId="3" applyNumberFormat="1" applyFont="1" applyFill="1" applyBorder="1" applyAlignment="1">
      <alignment vertical="center"/>
    </xf>
    <xf numFmtId="169" fontId="5" fillId="0" borderId="14" xfId="3" applyNumberFormat="1" applyFont="1" applyFill="1" applyBorder="1" applyAlignment="1">
      <alignment vertical="center"/>
    </xf>
    <xf numFmtId="172" fontId="5" fillId="0" borderId="33" xfId="8" applyNumberFormat="1" applyFont="1" applyFill="1" applyBorder="1" applyAlignment="1">
      <alignment horizontal="center" vertical="center"/>
    </xf>
    <xf numFmtId="172" fontId="5" fillId="0" borderId="18" xfId="8" applyNumberFormat="1" applyFont="1" applyFill="1" applyBorder="1" applyAlignment="1">
      <alignment horizontal="center" vertical="center"/>
    </xf>
    <xf numFmtId="172" fontId="5" fillId="0" borderId="14" xfId="8" applyNumberFormat="1" applyFont="1" applyFill="1" applyBorder="1" applyAlignment="1">
      <alignment horizontal="center" vertical="center"/>
    </xf>
    <xf numFmtId="169" fontId="5" fillId="0" borderId="19" xfId="3" applyNumberFormat="1" applyFont="1" applyFill="1" applyBorder="1" applyAlignment="1">
      <alignment vertical="center"/>
    </xf>
    <xf numFmtId="169" fontId="5" fillId="0" borderId="15" xfId="3" applyNumberFormat="1" applyFont="1" applyFill="1" applyBorder="1" applyAlignment="1">
      <alignment vertical="center"/>
    </xf>
    <xf numFmtId="172" fontId="5" fillId="0" borderId="34" xfId="8" applyNumberFormat="1" applyFont="1" applyFill="1" applyBorder="1" applyAlignment="1">
      <alignment horizontal="center" vertical="center"/>
    </xf>
    <xf numFmtId="172" fontId="5" fillId="0" borderId="19" xfId="8" applyNumberFormat="1" applyFont="1" applyFill="1" applyBorder="1" applyAlignment="1">
      <alignment horizontal="center" vertical="center"/>
    </xf>
    <xf numFmtId="172" fontId="5" fillId="0" borderId="15" xfId="8" applyNumberFormat="1" applyFont="1" applyFill="1" applyBorder="1" applyAlignment="1">
      <alignment horizontal="center" vertical="center"/>
    </xf>
    <xf numFmtId="169" fontId="5" fillId="0" borderId="0" xfId="3" applyNumberFormat="1" applyFont="1"/>
    <xf numFmtId="172" fontId="5" fillId="0" borderId="0" xfId="8" applyNumberFormat="1" applyFont="1" applyAlignment="1">
      <alignment horizontal="center"/>
    </xf>
    <xf numFmtId="169" fontId="14" fillId="19" borderId="20" xfId="3" applyNumberFormat="1" applyFont="1" applyFill="1" applyBorder="1" applyAlignment="1">
      <alignment vertical="center"/>
    </xf>
    <xf numFmtId="172" fontId="14" fillId="19" borderId="35" xfId="8" applyNumberFormat="1" applyFont="1" applyFill="1" applyBorder="1" applyAlignment="1">
      <alignment horizontal="center" vertical="center"/>
    </xf>
    <xf numFmtId="172" fontId="14" fillId="19" borderId="20" xfId="8" applyNumberFormat="1" applyFont="1" applyFill="1" applyBorder="1" applyAlignment="1">
      <alignment horizontal="center" vertical="center"/>
    </xf>
    <xf numFmtId="172" fontId="14" fillId="19" borderId="17" xfId="8" applyNumberFormat="1" applyFont="1" applyFill="1" applyBorder="1" applyAlignment="1">
      <alignment horizontal="center" vertical="center"/>
    </xf>
    <xf numFmtId="0" fontId="23" fillId="52" borderId="68" xfId="0" applyFont="1" applyFill="1" applyBorder="1" applyAlignment="1">
      <alignment horizontal="center" vertical="center" wrapText="1"/>
    </xf>
    <xf numFmtId="0" fontId="23" fillId="53" borderId="107" xfId="0" applyFont="1" applyFill="1" applyBorder="1" applyAlignment="1">
      <alignment horizontal="center" vertical="center" wrapText="1"/>
    </xf>
    <xf numFmtId="0" fontId="23" fillId="53" borderId="90" xfId="0" applyFont="1" applyFill="1" applyBorder="1" applyAlignment="1">
      <alignment horizontal="center" vertical="center" wrapText="1"/>
    </xf>
    <xf numFmtId="0" fontId="23" fillId="53" borderId="108" xfId="0" applyFont="1" applyFill="1" applyBorder="1" applyAlignment="1">
      <alignment horizontal="center" vertical="center" wrapText="1"/>
    </xf>
    <xf numFmtId="0" fontId="28" fillId="0" borderId="68" xfId="0" applyFont="1" applyBorder="1" applyAlignment="1">
      <alignment vertical="center"/>
    </xf>
    <xf numFmtId="169" fontId="5" fillId="0" borderId="11" xfId="3" applyNumberFormat="1" applyFont="1" applyFill="1" applyBorder="1" applyAlignment="1">
      <alignment vertical="center"/>
    </xf>
    <xf numFmtId="169" fontId="5" fillId="0" borderId="12" xfId="3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0" fontId="33" fillId="51" borderId="112" xfId="0" applyFont="1" applyFill="1" applyBorder="1" applyAlignment="1">
      <alignment horizontal="centerContinuous" vertical="center" wrapText="1"/>
    </xf>
    <xf numFmtId="0" fontId="33" fillId="51" borderId="113" xfId="0" applyFont="1" applyFill="1" applyBorder="1" applyAlignment="1">
      <alignment horizontal="centerContinuous" vertical="center" wrapText="1"/>
    </xf>
    <xf numFmtId="169" fontId="14" fillId="19" borderId="10" xfId="3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172" fontId="23" fillId="51" borderId="66" xfId="8" applyNumberFormat="1" applyFont="1" applyFill="1" applyBorder="1" applyAlignment="1">
      <alignment horizontal="center" vertical="center"/>
    </xf>
    <xf numFmtId="172" fontId="23" fillId="51" borderId="96" xfId="8" applyNumberFormat="1" applyFont="1" applyFill="1" applyBorder="1" applyAlignment="1">
      <alignment horizontal="center" vertical="center"/>
    </xf>
    <xf numFmtId="172" fontId="23" fillId="51" borderId="99" xfId="8" applyNumberFormat="1" applyFont="1" applyFill="1" applyBorder="1" applyAlignment="1">
      <alignment horizontal="center" vertical="center"/>
    </xf>
    <xf numFmtId="172" fontId="5" fillId="0" borderId="1" xfId="8" applyNumberFormat="1" applyFont="1" applyBorder="1" applyAlignment="1">
      <alignment horizontal="center" vertical="center"/>
    </xf>
    <xf numFmtId="172" fontId="5" fillId="0" borderId="21" xfId="8" applyNumberFormat="1" applyFont="1" applyBorder="1" applyAlignment="1">
      <alignment horizontal="center" vertical="center"/>
    </xf>
    <xf numFmtId="172" fontId="5" fillId="0" borderId="13" xfId="8" applyNumberFormat="1" applyFont="1" applyBorder="1" applyAlignment="1">
      <alignment horizontal="center" vertical="center"/>
    </xf>
    <xf numFmtId="172" fontId="5" fillId="0" borderId="58" xfId="8" applyNumberFormat="1" applyFont="1" applyBorder="1" applyAlignment="1">
      <alignment horizontal="center" vertical="center"/>
    </xf>
    <xf numFmtId="172" fontId="5" fillId="0" borderId="91" xfId="8" applyNumberFormat="1" applyFont="1" applyBorder="1" applyAlignment="1">
      <alignment horizontal="center" vertical="center"/>
    </xf>
    <xf numFmtId="172" fontId="5" fillId="0" borderId="92" xfId="8" applyNumberFormat="1" applyFont="1" applyBorder="1" applyAlignment="1">
      <alignment horizontal="center" vertical="center"/>
    </xf>
    <xf numFmtId="172" fontId="5" fillId="0" borderId="69" xfId="8" applyNumberFormat="1" applyFont="1" applyBorder="1" applyAlignment="1">
      <alignment horizontal="center" vertical="center"/>
    </xf>
    <xf numFmtId="172" fontId="5" fillId="0" borderId="98" xfId="8" applyNumberFormat="1" applyFont="1" applyBorder="1" applyAlignment="1">
      <alignment horizontal="center" vertical="center"/>
    </xf>
    <xf numFmtId="172" fontId="5" fillId="0" borderId="70" xfId="8" applyNumberFormat="1" applyFont="1" applyBorder="1" applyAlignment="1">
      <alignment horizontal="center" vertical="center"/>
    </xf>
    <xf numFmtId="172" fontId="5" fillId="0" borderId="59" xfId="8" applyNumberFormat="1" applyFont="1" applyBorder="1" applyAlignment="1">
      <alignment horizontal="center" vertical="center"/>
    </xf>
    <xf numFmtId="172" fontId="5" fillId="0" borderId="93" xfId="8" applyNumberFormat="1" applyFont="1" applyBorder="1" applyAlignment="1">
      <alignment horizontal="center" vertical="center"/>
    </xf>
    <xf numFmtId="172" fontId="5" fillId="0" borderId="83" xfId="8" applyNumberFormat="1" applyFont="1" applyBorder="1" applyAlignment="1">
      <alignment horizontal="center" vertical="center"/>
    </xf>
    <xf numFmtId="172" fontId="23" fillId="51" borderId="54" xfId="8" applyNumberFormat="1" applyFont="1" applyFill="1" applyBorder="1" applyAlignment="1">
      <alignment horizontal="centerContinuous" vertical="center" wrapText="1"/>
    </xf>
    <xf numFmtId="172" fontId="23" fillId="51" borderId="55" xfId="8" applyNumberFormat="1" applyFont="1" applyFill="1" applyBorder="1" applyAlignment="1">
      <alignment horizontal="centerContinuous" vertical="center" wrapText="1"/>
    </xf>
    <xf numFmtId="172" fontId="23" fillId="51" borderId="115" xfId="8" applyNumberFormat="1" applyFont="1" applyFill="1" applyBorder="1" applyAlignment="1">
      <alignment horizontal="center" vertical="center"/>
    </xf>
    <xf numFmtId="172" fontId="23" fillId="51" borderId="116" xfId="8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2" fontId="5" fillId="0" borderId="0" xfId="8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2" fontId="5" fillId="0" borderId="21" xfId="8" applyNumberFormat="1" applyFont="1" applyBorder="1" applyAlignment="1">
      <alignment vertical="center"/>
    </xf>
    <xf numFmtId="172" fontId="5" fillId="0" borderId="13" xfId="8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72" fontId="5" fillId="0" borderId="22" xfId="8" applyNumberFormat="1" applyFont="1" applyBorder="1" applyAlignment="1">
      <alignment vertical="center"/>
    </xf>
    <xf numFmtId="172" fontId="5" fillId="0" borderId="14" xfId="8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2" fontId="5" fillId="0" borderId="23" xfId="8" applyNumberFormat="1" applyFont="1" applyBorder="1" applyAlignment="1">
      <alignment vertical="center"/>
    </xf>
    <xf numFmtId="172" fontId="5" fillId="0" borderId="15" xfId="8" applyNumberFormat="1" applyFont="1" applyBorder="1" applyAlignment="1">
      <alignment vertical="center"/>
    </xf>
    <xf numFmtId="0" fontId="23" fillId="2" borderId="35" xfId="0" applyFont="1" applyFill="1" applyBorder="1" applyAlignment="1">
      <alignment horizontal="centerContinuous" vertical="center"/>
    </xf>
    <xf numFmtId="0" fontId="23" fillId="2" borderId="10" xfId="0" applyFont="1" applyFill="1" applyBorder="1" applyAlignment="1">
      <alignment horizontal="centerContinuous" vertical="center"/>
    </xf>
    <xf numFmtId="0" fontId="23" fillId="2" borderId="36" xfId="0" applyFont="1" applyFill="1" applyBorder="1" applyAlignment="1">
      <alignment horizontal="centerContinuous" vertical="center"/>
    </xf>
    <xf numFmtId="172" fontId="23" fillId="51" borderId="56" xfId="8" applyNumberFormat="1" applyFont="1" applyFill="1" applyBorder="1" applyAlignment="1">
      <alignment horizontal="centerContinuous" vertical="center" wrapText="1"/>
    </xf>
    <xf numFmtId="172" fontId="23" fillId="51" borderId="114" xfId="8" applyNumberFormat="1" applyFont="1" applyFill="1" applyBorder="1" applyAlignment="1">
      <alignment horizontal="center" vertical="center"/>
    </xf>
    <xf numFmtId="172" fontId="5" fillId="0" borderId="1" xfId="8" applyNumberFormat="1" applyFont="1" applyBorder="1" applyAlignment="1">
      <alignment vertical="center"/>
    </xf>
    <xf numFmtId="172" fontId="5" fillId="0" borderId="2" xfId="8" applyNumberFormat="1" applyFont="1" applyBorder="1" applyAlignment="1">
      <alignment vertical="center"/>
    </xf>
    <xf numFmtId="172" fontId="5" fillId="0" borderId="3" xfId="8" applyNumberFormat="1" applyFont="1" applyBorder="1" applyAlignment="1">
      <alignment vertical="center"/>
    </xf>
    <xf numFmtId="0" fontId="13" fillId="0" borderId="21" xfId="0" applyFont="1" applyBorder="1" applyAlignment="1">
      <alignment horizontal="left" vertical="center" indent="1"/>
    </xf>
    <xf numFmtId="0" fontId="13" fillId="0" borderId="22" xfId="0" applyFont="1" applyBorder="1" applyAlignment="1">
      <alignment horizontal="left" vertical="center" indent="1"/>
    </xf>
    <xf numFmtId="0" fontId="13" fillId="0" borderId="23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169" fontId="13" fillId="0" borderId="0" xfId="0" applyNumberFormat="1" applyFont="1" applyAlignment="1">
      <alignment vertical="center"/>
    </xf>
    <xf numFmtId="171" fontId="26" fillId="0" borderId="0" xfId="198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179" fontId="0" fillId="0" borderId="0" xfId="0" applyNumberFormat="1"/>
    <xf numFmtId="180" fontId="0" fillId="0" borderId="21" xfId="8" applyNumberFormat="1" applyFont="1" applyBorder="1"/>
    <xf numFmtId="180" fontId="0" fillId="0" borderId="22" xfId="8" applyNumberFormat="1" applyFont="1" applyBorder="1"/>
    <xf numFmtId="180" fontId="0" fillId="0" borderId="1" xfId="8" applyNumberFormat="1" applyFont="1" applyBorder="1"/>
    <xf numFmtId="180" fontId="0" fillId="0" borderId="13" xfId="8" applyNumberFormat="1" applyFont="1" applyBorder="1"/>
    <xf numFmtId="180" fontId="0" fillId="0" borderId="2" xfId="8" applyNumberFormat="1" applyFont="1" applyBorder="1"/>
    <xf numFmtId="180" fontId="0" fillId="0" borderId="14" xfId="8" applyNumberFormat="1" applyFont="1" applyBorder="1"/>
    <xf numFmtId="180" fontId="0" fillId="0" borderId="3" xfId="8" applyNumberFormat="1" applyFont="1" applyBorder="1"/>
    <xf numFmtId="180" fontId="0" fillId="0" borderId="23" xfId="8" applyNumberFormat="1" applyFont="1" applyBorder="1"/>
    <xf numFmtId="180" fontId="0" fillId="0" borderId="15" xfId="8" applyNumberFormat="1" applyFont="1" applyBorder="1"/>
    <xf numFmtId="178" fontId="5" fillId="0" borderId="21" xfId="8" applyNumberFormat="1" applyFont="1" applyBorder="1" applyAlignment="1">
      <alignment vertical="center"/>
    </xf>
    <xf numFmtId="178" fontId="5" fillId="0" borderId="13" xfId="8" applyNumberFormat="1" applyFont="1" applyBorder="1" applyAlignment="1">
      <alignment vertical="center"/>
    </xf>
    <xf numFmtId="178" fontId="5" fillId="0" borderId="22" xfId="8" applyNumberFormat="1" applyFont="1" applyBorder="1" applyAlignment="1">
      <alignment vertical="center"/>
    </xf>
    <xf numFmtId="178" fontId="5" fillId="0" borderId="14" xfId="8" applyNumberFormat="1" applyFont="1" applyBorder="1" applyAlignment="1">
      <alignment vertical="center"/>
    </xf>
    <xf numFmtId="178" fontId="5" fillId="0" borderId="23" xfId="8" applyNumberFormat="1" applyFont="1" applyBorder="1" applyAlignment="1">
      <alignment vertical="center"/>
    </xf>
    <xf numFmtId="178" fontId="5" fillId="0" borderId="15" xfId="8" applyNumberFormat="1" applyFont="1" applyBorder="1" applyAlignment="1">
      <alignment vertical="center"/>
    </xf>
    <xf numFmtId="181" fontId="5" fillId="0" borderId="1" xfId="8" applyNumberFormat="1" applyFont="1" applyBorder="1" applyAlignment="1">
      <alignment vertical="center"/>
    </xf>
    <xf numFmtId="181" fontId="5" fillId="0" borderId="21" xfId="8" applyNumberFormat="1" applyFont="1" applyBorder="1" applyAlignment="1">
      <alignment vertical="center"/>
    </xf>
    <xf numFmtId="181" fontId="5" fillId="0" borderId="13" xfId="8" applyNumberFormat="1" applyFont="1" applyBorder="1" applyAlignment="1">
      <alignment vertical="center"/>
    </xf>
    <xf numFmtId="181" fontId="5" fillId="0" borderId="2" xfId="8" applyNumberFormat="1" applyFont="1" applyBorder="1" applyAlignment="1">
      <alignment vertical="center"/>
    </xf>
    <xf numFmtId="181" fontId="5" fillId="0" borderId="22" xfId="8" applyNumberFormat="1" applyFont="1" applyBorder="1" applyAlignment="1">
      <alignment vertical="center"/>
    </xf>
    <xf numFmtId="181" fontId="5" fillId="0" borderId="14" xfId="8" applyNumberFormat="1" applyFont="1" applyBorder="1" applyAlignment="1">
      <alignment vertical="center"/>
    </xf>
    <xf numFmtId="181" fontId="5" fillId="0" borderId="3" xfId="8" applyNumberFormat="1" applyFont="1" applyBorder="1" applyAlignment="1">
      <alignment vertical="center"/>
    </xf>
    <xf numFmtId="181" fontId="5" fillId="0" borderId="23" xfId="8" applyNumberFormat="1" applyFont="1" applyBorder="1" applyAlignment="1">
      <alignment vertical="center"/>
    </xf>
    <xf numFmtId="181" fontId="5" fillId="0" borderId="15" xfId="8" applyNumberFormat="1" applyFont="1" applyBorder="1" applyAlignment="1">
      <alignment vertical="center"/>
    </xf>
    <xf numFmtId="172" fontId="0" fillId="0" borderId="0" xfId="0" applyNumberFormat="1"/>
    <xf numFmtId="0" fontId="51" fillId="0" borderId="0" xfId="0" applyFont="1" applyAlignment="1">
      <alignment vertical="center"/>
    </xf>
    <xf numFmtId="0" fontId="23" fillId="2" borderId="30" xfId="0" applyFont="1" applyFill="1" applyBorder="1" applyAlignment="1">
      <alignment horizontal="left" vertical="center" indent="1"/>
    </xf>
    <xf numFmtId="0" fontId="18" fillId="2" borderId="10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5" fillId="0" borderId="119" xfId="0" applyFont="1" applyBorder="1" applyAlignment="1">
      <alignment horizontal="center" vertical="center"/>
    </xf>
    <xf numFmtId="178" fontId="5" fillId="0" borderId="120" xfId="8" applyNumberFormat="1" applyFont="1" applyBorder="1" applyAlignment="1">
      <alignment vertical="center"/>
    </xf>
    <xf numFmtId="178" fontId="5" fillId="0" borderId="121" xfId="8" applyNumberFormat="1" applyFont="1" applyBorder="1" applyAlignment="1">
      <alignment vertical="center"/>
    </xf>
    <xf numFmtId="0" fontId="5" fillId="0" borderId="122" xfId="0" applyFont="1" applyBorder="1" applyAlignment="1">
      <alignment horizontal="center" vertical="center"/>
    </xf>
    <xf numFmtId="178" fontId="5" fillId="0" borderId="123" xfId="8" applyNumberFormat="1" applyFont="1" applyBorder="1" applyAlignment="1">
      <alignment vertical="center"/>
    </xf>
    <xf numFmtId="178" fontId="5" fillId="0" borderId="124" xfId="8" applyNumberFormat="1" applyFont="1" applyBorder="1" applyAlignment="1">
      <alignment vertical="center"/>
    </xf>
    <xf numFmtId="0" fontId="4" fillId="0" borderId="125" xfId="0" applyFont="1" applyBorder="1" applyAlignment="1">
      <alignment horizontal="center" vertical="center"/>
    </xf>
    <xf numFmtId="178" fontId="5" fillId="0" borderId="126" xfId="8" applyNumberFormat="1" applyFont="1" applyBorder="1" applyAlignment="1">
      <alignment vertical="center"/>
    </xf>
    <xf numFmtId="178" fontId="5" fillId="0" borderId="127" xfId="8" applyNumberFormat="1" applyFont="1" applyBorder="1" applyAlignment="1">
      <alignment vertical="center"/>
    </xf>
    <xf numFmtId="181" fontId="0" fillId="0" borderId="98" xfId="0" applyNumberFormat="1" applyBorder="1"/>
    <xf numFmtId="181" fontId="0" fillId="0" borderId="22" xfId="0" applyNumberFormat="1" applyBorder="1"/>
    <xf numFmtId="181" fontId="0" fillId="0" borderId="70" xfId="0" applyNumberFormat="1" applyBorder="1"/>
    <xf numFmtId="181" fontId="0" fillId="0" borderId="2" xfId="0" applyNumberFormat="1" applyBorder="1"/>
    <xf numFmtId="181" fontId="0" fillId="0" borderId="14" xfId="0" applyNumberFormat="1" applyBorder="1"/>
    <xf numFmtId="181" fontId="0" fillId="0" borderId="3" xfId="0" applyNumberFormat="1" applyBorder="1"/>
    <xf numFmtId="181" fontId="0" fillId="0" borderId="23" xfId="0" applyNumberFormat="1" applyBorder="1"/>
    <xf numFmtId="182" fontId="0" fillId="0" borderId="0" xfId="0" applyNumberFormat="1"/>
    <xf numFmtId="172" fontId="23" fillId="51" borderId="115" xfId="8" applyNumberFormat="1" applyFont="1" applyFill="1" applyBorder="1" applyAlignment="1">
      <alignment horizontal="center" vertical="center" wrapText="1"/>
    </xf>
    <xf numFmtId="182" fontId="0" fillId="0" borderId="120" xfId="8" applyNumberFormat="1" applyFont="1" applyBorder="1"/>
    <xf numFmtId="182" fontId="0" fillId="0" borderId="120" xfId="0" applyNumberFormat="1" applyBorder="1"/>
    <xf numFmtId="182" fontId="0" fillId="0" borderId="123" xfId="8" applyNumberFormat="1" applyFont="1" applyBorder="1"/>
    <xf numFmtId="182" fontId="0" fillId="0" borderId="123" xfId="0" applyNumberFormat="1" applyBorder="1"/>
    <xf numFmtId="169" fontId="0" fillId="0" borderId="121" xfId="3" applyNumberFormat="1" applyFont="1" applyBorder="1" applyAlignment="1">
      <alignment horizontal="right" indent="1"/>
    </xf>
    <xf numFmtId="169" fontId="0" fillId="0" borderId="124" xfId="3" applyNumberFormat="1" applyFont="1" applyBorder="1" applyAlignment="1">
      <alignment horizontal="right" indent="1"/>
    </xf>
    <xf numFmtId="182" fontId="0" fillId="0" borderId="126" xfId="8" applyNumberFormat="1" applyFont="1" applyBorder="1"/>
    <xf numFmtId="182" fontId="0" fillId="0" borderId="126" xfId="0" applyNumberFormat="1" applyBorder="1"/>
    <xf numFmtId="169" fontId="0" fillId="0" borderId="127" xfId="3" applyNumberFormat="1" applyFont="1" applyBorder="1" applyAlignment="1">
      <alignment horizontal="right" indent="1"/>
    </xf>
    <xf numFmtId="172" fontId="5" fillId="19" borderId="23" xfId="8" applyNumberFormat="1" applyFont="1" applyFill="1" applyBorder="1" applyAlignment="1">
      <alignment vertical="center"/>
    </xf>
    <xf numFmtId="172" fontId="5" fillId="19" borderId="15" xfId="8" applyNumberFormat="1" applyFont="1" applyFill="1" applyBorder="1" applyAlignment="1">
      <alignment vertical="center"/>
    </xf>
    <xf numFmtId="0" fontId="5" fillId="19" borderId="3" xfId="0" applyFont="1" applyFill="1" applyBorder="1" applyAlignment="1">
      <alignment horizontal="center" vertical="center"/>
    </xf>
    <xf numFmtId="172" fontId="5" fillId="19" borderId="3" xfId="8" applyNumberFormat="1" applyFont="1" applyFill="1" applyBorder="1" applyAlignment="1">
      <alignment vertical="center"/>
    </xf>
    <xf numFmtId="181" fontId="5" fillId="19" borderId="3" xfId="8" applyNumberFormat="1" applyFont="1" applyFill="1" applyBorder="1" applyAlignment="1">
      <alignment vertical="center"/>
    </xf>
    <xf numFmtId="181" fontId="5" fillId="19" borderId="23" xfId="8" applyNumberFormat="1" applyFont="1" applyFill="1" applyBorder="1" applyAlignment="1">
      <alignment vertical="center"/>
    </xf>
    <xf numFmtId="181" fontId="5" fillId="19" borderId="15" xfId="8" applyNumberFormat="1" applyFont="1" applyFill="1" applyBorder="1" applyAlignment="1">
      <alignment vertical="center"/>
    </xf>
    <xf numFmtId="178" fontId="5" fillId="19" borderId="23" xfId="8" applyNumberFormat="1" applyFont="1" applyFill="1" applyBorder="1" applyAlignment="1">
      <alignment vertical="center"/>
    </xf>
    <xf numFmtId="178" fontId="5" fillId="19" borderId="15" xfId="8" applyNumberFormat="1" applyFont="1" applyFill="1" applyBorder="1" applyAlignment="1">
      <alignment vertical="center"/>
    </xf>
    <xf numFmtId="0" fontId="4" fillId="19" borderId="125" xfId="0" applyFont="1" applyFill="1" applyBorder="1" applyAlignment="1">
      <alignment horizontal="center" vertical="center"/>
    </xf>
    <xf numFmtId="178" fontId="5" fillId="19" borderId="126" xfId="8" applyNumberFormat="1" applyFont="1" applyFill="1" applyBorder="1" applyAlignment="1">
      <alignment vertical="center"/>
    </xf>
    <xf numFmtId="178" fontId="5" fillId="19" borderId="127" xfId="8" applyNumberFormat="1" applyFont="1" applyFill="1" applyBorder="1" applyAlignment="1">
      <alignment vertical="center"/>
    </xf>
    <xf numFmtId="181" fontId="0" fillId="19" borderId="3" xfId="0" applyNumberFormat="1" applyFill="1" applyBorder="1"/>
    <xf numFmtId="181" fontId="0" fillId="19" borderId="23" xfId="0" applyNumberFormat="1" applyFill="1" applyBorder="1"/>
    <xf numFmtId="181" fontId="0" fillId="19" borderId="15" xfId="0" applyNumberFormat="1" applyFill="1" applyBorder="1"/>
    <xf numFmtId="180" fontId="0" fillId="19" borderId="23" xfId="8" applyNumberFormat="1" applyFont="1" applyFill="1" applyBorder="1"/>
    <xf numFmtId="180" fontId="0" fillId="19" borderId="15" xfId="8" applyNumberFormat="1" applyFont="1" applyFill="1" applyBorder="1"/>
    <xf numFmtId="180" fontId="0" fillId="19" borderId="3" xfId="8" applyNumberFormat="1" applyFont="1" applyFill="1" applyBorder="1"/>
    <xf numFmtId="182" fontId="0" fillId="19" borderId="126" xfId="8" applyNumberFormat="1" applyFont="1" applyFill="1" applyBorder="1"/>
    <xf numFmtId="182" fontId="0" fillId="19" borderId="126" xfId="0" applyNumberFormat="1" applyFill="1" applyBorder="1"/>
    <xf numFmtId="169" fontId="0" fillId="19" borderId="127" xfId="3" applyNumberFormat="1" applyFont="1" applyFill="1" applyBorder="1" applyAlignment="1">
      <alignment horizontal="right" indent="1"/>
    </xf>
    <xf numFmtId="0" fontId="14" fillId="0" borderId="0" xfId="0" applyFont="1" applyAlignment="1">
      <alignment horizontal="left" vertical="center" indent="1"/>
    </xf>
    <xf numFmtId="182" fontId="14" fillId="0" borderId="0" xfId="8" applyNumberFormat="1" applyFont="1" applyBorder="1" applyAlignment="1">
      <alignment vertical="center"/>
    </xf>
    <xf numFmtId="182" fontId="14" fillId="0" borderId="0" xfId="0" applyNumberFormat="1" applyFont="1" applyAlignment="1">
      <alignment vertical="center"/>
    </xf>
    <xf numFmtId="169" fontId="14" fillId="0" borderId="0" xfId="3" applyNumberFormat="1" applyFont="1" applyBorder="1" applyAlignment="1">
      <alignment horizontal="right" vertical="center" indent="1"/>
    </xf>
    <xf numFmtId="172" fontId="5" fillId="0" borderId="23" xfId="8" applyNumberFormat="1" applyFont="1" applyFill="1" applyBorder="1" applyAlignment="1">
      <alignment vertical="center"/>
    </xf>
    <xf numFmtId="172" fontId="5" fillId="0" borderId="15" xfId="8" applyNumberFormat="1" applyFont="1" applyFill="1" applyBorder="1" applyAlignment="1">
      <alignment vertical="center"/>
    </xf>
    <xf numFmtId="181" fontId="5" fillId="0" borderId="23" xfId="8" applyNumberFormat="1" applyFont="1" applyFill="1" applyBorder="1" applyAlignment="1">
      <alignment vertical="center"/>
    </xf>
    <xf numFmtId="181" fontId="5" fillId="0" borderId="15" xfId="8" applyNumberFormat="1" applyFont="1" applyFill="1" applyBorder="1" applyAlignment="1">
      <alignment vertical="center"/>
    </xf>
    <xf numFmtId="172" fontId="5" fillId="0" borderId="52" xfId="8" applyNumberFormat="1" applyFont="1" applyBorder="1" applyAlignment="1">
      <alignment vertical="center"/>
    </xf>
    <xf numFmtId="172" fontId="5" fillId="0" borderId="41" xfId="8" applyNumberFormat="1" applyFont="1" applyBorder="1" applyAlignment="1">
      <alignment vertical="center"/>
    </xf>
    <xf numFmtId="172" fontId="5" fillId="0" borderId="42" xfId="8" applyNumberFormat="1" applyFont="1" applyFill="1" applyBorder="1" applyAlignment="1">
      <alignment vertical="center"/>
    </xf>
    <xf numFmtId="181" fontId="5" fillId="0" borderId="52" xfId="8" applyNumberFormat="1" applyFont="1" applyBorder="1" applyAlignment="1">
      <alignment vertical="center"/>
    </xf>
    <xf numFmtId="181" fontId="5" fillId="0" borderId="41" xfId="8" applyNumberFormat="1" applyFont="1" applyBorder="1" applyAlignment="1">
      <alignment vertical="center"/>
    </xf>
    <xf numFmtId="180" fontId="0" fillId="0" borderId="23" xfId="8" applyNumberFormat="1" applyFont="1" applyFill="1" applyBorder="1"/>
    <xf numFmtId="180" fontId="0" fillId="0" borderId="15" xfId="8" applyNumberFormat="1" applyFont="1" applyFill="1" applyBorder="1"/>
    <xf numFmtId="180" fontId="0" fillId="0" borderId="3" xfId="8" applyNumberFormat="1" applyFont="1" applyFill="1" applyBorder="1"/>
    <xf numFmtId="175" fontId="0" fillId="0" borderId="0" xfId="0" applyNumberFormat="1"/>
    <xf numFmtId="182" fontId="0" fillId="0" borderId="0" xfId="8" applyNumberFormat="1" applyFont="1"/>
    <xf numFmtId="167" fontId="0" fillId="0" borderId="0" xfId="0" applyNumberFormat="1"/>
    <xf numFmtId="172" fontId="3" fillId="0" borderId="0" xfId="8" applyNumberFormat="1" applyFont="1" applyBorder="1" applyAlignment="1">
      <alignment vertical="center"/>
    </xf>
    <xf numFmtId="183" fontId="0" fillId="0" borderId="0" xfId="0" applyNumberFormat="1"/>
    <xf numFmtId="0" fontId="33" fillId="2" borderId="35" xfId="0" applyFont="1" applyFill="1" applyBorder="1" applyAlignment="1">
      <alignment horizontal="centerContinuous" vertical="center"/>
    </xf>
    <xf numFmtId="169" fontId="0" fillId="0" borderId="0" xfId="3" applyNumberFormat="1" applyFont="1"/>
    <xf numFmtId="169" fontId="0" fillId="0" borderId="0" xfId="3" applyNumberFormat="1" applyFont="1" applyFill="1" applyBorder="1" applyAlignment="1">
      <alignment horizontal="right" indent="1"/>
    </xf>
    <xf numFmtId="169" fontId="0" fillId="0" borderId="0" xfId="3" applyNumberFormat="1" applyFont="1" applyAlignment="1">
      <alignment vertical="center"/>
    </xf>
    <xf numFmtId="172" fontId="5" fillId="0" borderId="0" xfId="0" applyNumberFormat="1" applyFont="1"/>
    <xf numFmtId="169" fontId="0" fillId="0" borderId="130" xfId="3" applyNumberFormat="1" applyFont="1" applyBorder="1" applyAlignment="1">
      <alignment vertical="center"/>
    </xf>
    <xf numFmtId="169" fontId="0" fillId="0" borderId="18" xfId="3" applyNumberFormat="1" applyFont="1" applyBorder="1" applyAlignment="1">
      <alignment vertical="center"/>
    </xf>
    <xf numFmtId="0" fontId="0" fillId="0" borderId="130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182" fontId="0" fillId="0" borderId="0" xfId="8" applyNumberFormat="1" applyFont="1" applyAlignment="1">
      <alignment vertical="center"/>
    </xf>
    <xf numFmtId="185" fontId="0" fillId="0" borderId="0" xfId="0" applyNumberFormat="1" applyAlignment="1">
      <alignment vertical="center"/>
    </xf>
    <xf numFmtId="186" fontId="0" fillId="0" borderId="0" xfId="8" applyNumberFormat="1" applyFont="1" applyAlignment="1">
      <alignment vertical="center"/>
    </xf>
    <xf numFmtId="169" fontId="14" fillId="0" borderId="0" xfId="3" applyNumberFormat="1" applyFont="1" applyAlignment="1">
      <alignment vertical="center"/>
    </xf>
    <xf numFmtId="172" fontId="23" fillId="51" borderId="116" xfId="8" applyNumberFormat="1" applyFont="1" applyFill="1" applyBorder="1" applyAlignment="1">
      <alignment horizontal="center" vertical="center" wrapText="1"/>
    </xf>
    <xf numFmtId="0" fontId="2" fillId="0" borderId="0" xfId="313" applyFont="1"/>
    <xf numFmtId="172" fontId="23" fillId="51" borderId="54" xfId="315" applyNumberFormat="1" applyFont="1" applyFill="1" applyBorder="1" applyAlignment="1">
      <alignment horizontal="centerContinuous" vertical="center" wrapText="1"/>
    </xf>
    <xf numFmtId="172" fontId="23" fillId="51" borderId="55" xfId="315" applyNumberFormat="1" applyFont="1" applyFill="1" applyBorder="1" applyAlignment="1">
      <alignment horizontal="centerContinuous" vertical="center" wrapText="1"/>
    </xf>
    <xf numFmtId="0" fontId="2" fillId="0" borderId="0" xfId="313" applyFont="1" applyAlignment="1">
      <alignment vertical="center"/>
    </xf>
    <xf numFmtId="172" fontId="23" fillId="51" borderId="115" xfId="315" applyNumberFormat="1" applyFont="1" applyFill="1" applyBorder="1" applyAlignment="1">
      <alignment horizontal="center" vertical="center"/>
    </xf>
    <xf numFmtId="172" fontId="23" fillId="51" borderId="116" xfId="315" applyNumberFormat="1" applyFont="1" applyFill="1" applyBorder="1" applyAlignment="1">
      <alignment horizontal="center" vertical="center"/>
    </xf>
    <xf numFmtId="0" fontId="2" fillId="0" borderId="59" xfId="313" applyFont="1" applyBorder="1" applyAlignment="1">
      <alignment horizontal="center" vertical="center"/>
    </xf>
    <xf numFmtId="172" fontId="2" fillId="0" borderId="93" xfId="315" applyNumberFormat="1" applyFont="1" applyBorder="1" applyAlignment="1">
      <alignment vertical="center"/>
    </xf>
    <xf numFmtId="172" fontId="2" fillId="0" borderId="83" xfId="315" applyNumberFormat="1" applyFont="1" applyBorder="1" applyAlignment="1">
      <alignment vertical="center"/>
    </xf>
    <xf numFmtId="165" fontId="2" fillId="0" borderId="0" xfId="315" applyFont="1"/>
    <xf numFmtId="172" fontId="2" fillId="0" borderId="0" xfId="315" applyNumberFormat="1" applyFont="1"/>
    <xf numFmtId="169" fontId="2" fillId="0" borderId="131" xfId="314" applyNumberFormat="1" applyFont="1" applyBorder="1" applyAlignment="1">
      <alignment horizontal="right" vertical="center" indent="1"/>
    </xf>
    <xf numFmtId="169" fontId="2" fillId="0" borderId="64" xfId="314" applyNumberFormat="1" applyFont="1" applyBorder="1" applyAlignment="1">
      <alignment horizontal="right" vertical="center" indent="1"/>
    </xf>
    <xf numFmtId="169" fontId="2" fillId="0" borderId="91" xfId="314" applyNumberFormat="1" applyFont="1" applyBorder="1" applyAlignment="1">
      <alignment horizontal="right" vertical="center" indent="1"/>
    </xf>
    <xf numFmtId="9" fontId="2" fillId="0" borderId="0" xfId="314" applyFont="1"/>
    <xf numFmtId="172" fontId="2" fillId="0" borderId="131" xfId="313" applyNumberFormat="1" applyFont="1" applyBorder="1" applyAlignment="1">
      <alignment vertical="center"/>
    </xf>
    <xf numFmtId="172" fontId="2" fillId="0" borderId="64" xfId="313" applyNumberFormat="1" applyFont="1" applyBorder="1" applyAlignment="1">
      <alignment vertical="center"/>
    </xf>
    <xf numFmtId="172" fontId="2" fillId="0" borderId="51" xfId="313" applyNumberFormat="1" applyFont="1" applyBorder="1" applyAlignment="1">
      <alignment vertical="center"/>
    </xf>
    <xf numFmtId="172" fontId="2" fillId="0" borderId="91" xfId="313" applyNumberFormat="1" applyFont="1" applyBorder="1" applyAlignment="1">
      <alignment vertical="center"/>
    </xf>
    <xf numFmtId="172" fontId="2" fillId="0" borderId="93" xfId="313" applyNumberFormat="1" applyFont="1" applyBorder="1" applyAlignment="1">
      <alignment vertical="center"/>
    </xf>
    <xf numFmtId="172" fontId="2" fillId="0" borderId="65" xfId="313" applyNumberFormat="1" applyFont="1" applyBorder="1" applyAlignment="1">
      <alignment vertical="center"/>
    </xf>
    <xf numFmtId="172" fontId="2" fillId="0" borderId="68" xfId="313" applyNumberFormat="1" applyFont="1" applyBorder="1" applyAlignment="1">
      <alignment vertical="center"/>
    </xf>
    <xf numFmtId="0" fontId="2" fillId="0" borderId="1" xfId="313" applyFont="1" applyBorder="1" applyAlignment="1">
      <alignment horizontal="center" vertical="center"/>
    </xf>
    <xf numFmtId="178" fontId="2" fillId="0" borderId="21" xfId="315" applyNumberFormat="1" applyFont="1" applyBorder="1" applyAlignment="1">
      <alignment vertical="center"/>
    </xf>
    <xf numFmtId="178" fontId="2" fillId="0" borderId="13" xfId="315" applyNumberFormat="1" applyFont="1" applyBorder="1" applyAlignment="1">
      <alignment vertical="center"/>
    </xf>
    <xf numFmtId="178" fontId="2" fillId="0" borderId="93" xfId="315" applyNumberFormat="1" applyFont="1" applyBorder="1" applyAlignment="1">
      <alignment vertical="center"/>
    </xf>
    <xf numFmtId="178" fontId="2" fillId="0" borderId="83" xfId="315" applyNumberFormat="1" applyFont="1" applyBorder="1" applyAlignment="1">
      <alignment vertical="center"/>
    </xf>
    <xf numFmtId="182" fontId="2" fillId="0" borderId="93" xfId="8" applyNumberFormat="1" applyFont="1" applyBorder="1" applyAlignment="1">
      <alignment vertical="center"/>
    </xf>
    <xf numFmtId="182" fontId="2" fillId="0" borderId="83" xfId="8" applyNumberFormat="1" applyFont="1" applyBorder="1" applyAlignment="1">
      <alignment vertical="center"/>
    </xf>
    <xf numFmtId="0" fontId="2" fillId="0" borderId="84" xfId="313" applyFont="1" applyBorder="1" applyAlignment="1">
      <alignment horizontal="left" vertical="center" indent="1"/>
    </xf>
    <xf numFmtId="0" fontId="2" fillId="0" borderId="118" xfId="313" applyFont="1" applyBorder="1" applyAlignment="1">
      <alignment horizontal="left" vertical="center" indent="1"/>
    </xf>
    <xf numFmtId="182" fontId="2" fillId="0" borderId="21" xfId="8" applyNumberFormat="1" applyFont="1" applyBorder="1" applyAlignment="1">
      <alignment vertical="center"/>
    </xf>
    <xf numFmtId="182" fontId="2" fillId="0" borderId="13" xfId="8" applyNumberFormat="1" applyFont="1" applyBorder="1" applyAlignment="1">
      <alignment vertical="center"/>
    </xf>
    <xf numFmtId="0" fontId="2" fillId="0" borderId="0" xfId="313" applyFont="1" applyAlignment="1">
      <alignment horizontal="left" vertical="center"/>
    </xf>
    <xf numFmtId="169" fontId="2" fillId="0" borderId="0" xfId="314" applyNumberFormat="1" applyFont="1" applyBorder="1" applyAlignment="1">
      <alignment horizontal="right" vertical="center" indent="1"/>
    </xf>
    <xf numFmtId="172" fontId="24" fillId="0" borderId="51" xfId="313" applyNumberFormat="1" applyFont="1" applyBorder="1" applyAlignment="1">
      <alignment vertical="center"/>
    </xf>
    <xf numFmtId="172" fontId="2" fillId="0" borderId="92" xfId="313" applyNumberFormat="1" applyFont="1" applyBorder="1" applyAlignment="1">
      <alignment vertical="center"/>
    </xf>
    <xf numFmtId="0" fontId="2" fillId="0" borderId="0" xfId="313" applyFont="1" applyAlignment="1">
      <alignment horizontal="center" vertical="center"/>
    </xf>
    <xf numFmtId="181" fontId="2" fillId="0" borderId="0" xfId="315" applyNumberFormat="1" applyFont="1" applyBorder="1" applyAlignment="1">
      <alignment vertical="center"/>
    </xf>
    <xf numFmtId="0" fontId="2" fillId="0" borderId="1" xfId="313" applyFont="1" applyBorder="1" applyAlignment="1">
      <alignment horizontal="left" vertical="center" indent="1"/>
    </xf>
    <xf numFmtId="0" fontId="24" fillId="0" borderId="84" xfId="313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 indent="1"/>
    </xf>
    <xf numFmtId="0" fontId="5" fillId="0" borderId="125" xfId="0" applyFont="1" applyBorder="1" applyAlignment="1">
      <alignment horizontal="left" vertical="center" indent="1"/>
    </xf>
    <xf numFmtId="187" fontId="2" fillId="0" borderId="52" xfId="8" applyNumberFormat="1" applyFont="1" applyBorder="1" applyAlignment="1">
      <alignment vertical="center"/>
    </xf>
    <xf numFmtId="182" fontId="0" fillId="0" borderId="123" xfId="8" applyNumberFormat="1" applyFont="1" applyBorder="1" applyAlignment="1">
      <alignment vertical="center"/>
    </xf>
    <xf numFmtId="169" fontId="0" fillId="0" borderId="124" xfId="3" applyNumberFormat="1" applyFont="1" applyBorder="1" applyAlignment="1">
      <alignment horizontal="right" vertical="center" inden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9" fontId="0" fillId="0" borderId="0" xfId="0" applyNumberFormat="1"/>
    <xf numFmtId="172" fontId="23" fillId="51" borderId="134" xfId="315" applyNumberFormat="1" applyFont="1" applyFill="1" applyBorder="1" applyAlignment="1">
      <alignment horizontal="centerContinuous" vertical="center" wrapText="1"/>
    </xf>
    <xf numFmtId="0" fontId="2" fillId="0" borderId="135" xfId="313" applyFont="1" applyBorder="1" applyAlignment="1">
      <alignment horizontal="left" vertical="center" indent="1"/>
    </xf>
    <xf numFmtId="187" fontId="2" fillId="0" borderId="136" xfId="8" applyNumberFormat="1" applyFont="1" applyBorder="1" applyAlignment="1">
      <alignment vertical="center"/>
    </xf>
    <xf numFmtId="0" fontId="5" fillId="0" borderId="138" xfId="0" applyFont="1" applyBorder="1" applyAlignment="1">
      <alignment horizontal="left" vertical="center" indent="1"/>
    </xf>
    <xf numFmtId="182" fontId="2" fillId="0" borderId="51" xfId="313" applyNumberFormat="1" applyFont="1" applyBorder="1" applyAlignment="1">
      <alignment vertical="center"/>
    </xf>
    <xf numFmtId="182" fontId="2" fillId="0" borderId="68" xfId="313" applyNumberFormat="1" applyFont="1" applyBorder="1" applyAlignment="1">
      <alignment vertical="center"/>
    </xf>
    <xf numFmtId="169" fontId="0" fillId="0" borderId="13" xfId="3" applyNumberFormat="1" applyFont="1" applyBorder="1" applyAlignment="1">
      <alignment vertical="center"/>
    </xf>
    <xf numFmtId="169" fontId="0" fillId="0" borderId="14" xfId="3" applyNumberFormat="1" applyFont="1" applyBorder="1" applyAlignment="1">
      <alignment vertical="center"/>
    </xf>
    <xf numFmtId="0" fontId="0" fillId="0" borderId="19" xfId="0" applyBorder="1" applyAlignment="1">
      <alignment horizontal="right" vertical="center" indent="1"/>
    </xf>
    <xf numFmtId="169" fontId="0" fillId="0" borderId="19" xfId="3" applyNumberFormat="1" applyFont="1" applyBorder="1" applyAlignment="1">
      <alignment vertical="center"/>
    </xf>
    <xf numFmtId="169" fontId="0" fillId="0" borderId="15" xfId="3" applyNumberFormat="1" applyFont="1" applyBorder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184" fontId="0" fillId="0" borderId="0" xfId="0" applyNumberFormat="1"/>
    <xf numFmtId="0" fontId="24" fillId="19" borderId="27" xfId="313" applyFont="1" applyFill="1" applyBorder="1" applyAlignment="1">
      <alignment horizontal="left" vertical="center" indent="1"/>
    </xf>
    <xf numFmtId="187" fontId="24" fillId="19" borderId="106" xfId="8" applyNumberFormat="1" applyFont="1" applyFill="1" applyBorder="1" applyAlignment="1">
      <alignment vertical="center"/>
    </xf>
    <xf numFmtId="181" fontId="24" fillId="19" borderId="38" xfId="315" applyNumberFormat="1" applyFont="1" applyFill="1" applyBorder="1" applyAlignment="1">
      <alignment vertical="center"/>
    </xf>
    <xf numFmtId="181" fontId="24" fillId="19" borderId="29" xfId="315" applyNumberFormat="1" applyFont="1" applyFill="1" applyBorder="1" applyAlignment="1">
      <alignment vertical="center"/>
    </xf>
    <xf numFmtId="169" fontId="24" fillId="19" borderId="38" xfId="314" applyNumberFormat="1" applyFont="1" applyFill="1" applyBorder="1" applyAlignment="1">
      <alignment horizontal="right" vertical="center" indent="1"/>
    </xf>
    <xf numFmtId="169" fontId="24" fillId="19" borderId="29" xfId="314" applyNumberFormat="1" applyFont="1" applyFill="1" applyBorder="1" applyAlignment="1">
      <alignment horizontal="right" vertical="center" indent="1"/>
    </xf>
    <xf numFmtId="0" fontId="65" fillId="0" borderId="0" xfId="0" applyFont="1"/>
    <xf numFmtId="182" fontId="14" fillId="19" borderId="24" xfId="8" applyNumberFormat="1" applyFont="1" applyFill="1" applyBorder="1" applyAlignment="1">
      <alignment vertical="center"/>
    </xf>
    <xf numFmtId="182" fontId="14" fillId="19" borderId="24" xfId="0" applyNumberFormat="1" applyFont="1" applyFill="1" applyBorder="1" applyAlignment="1">
      <alignment vertical="center"/>
    </xf>
    <xf numFmtId="169" fontId="14" fillId="19" borderId="17" xfId="3" applyNumberFormat="1" applyFont="1" applyFill="1" applyBorder="1" applyAlignment="1">
      <alignment horizontal="right" vertical="center" indent="1"/>
    </xf>
    <xf numFmtId="0" fontId="24" fillId="19" borderId="59" xfId="0" applyFont="1" applyFill="1" applyBorder="1" applyAlignment="1">
      <alignment horizontal="left" vertical="center" indent="1"/>
    </xf>
    <xf numFmtId="0" fontId="18" fillId="0" borderId="94" xfId="0" applyFont="1" applyBorder="1"/>
    <xf numFmtId="0" fontId="65" fillId="0" borderId="94" xfId="0" applyFont="1" applyBorder="1"/>
    <xf numFmtId="0" fontId="14" fillId="19" borderId="4" xfId="0" applyFont="1" applyFill="1" applyBorder="1" applyAlignment="1">
      <alignment vertical="center"/>
    </xf>
    <xf numFmtId="169" fontId="14" fillId="19" borderId="17" xfId="3" applyNumberFormat="1" applyFont="1" applyFill="1" applyBorder="1" applyAlignment="1">
      <alignment horizontal="right" vertical="center"/>
    </xf>
    <xf numFmtId="0" fontId="24" fillId="19" borderId="125" xfId="0" applyFont="1" applyFill="1" applyBorder="1" applyAlignment="1">
      <alignment horizontal="left" vertical="center" indent="1"/>
    </xf>
    <xf numFmtId="182" fontId="14" fillId="19" borderId="126" xfId="8" applyNumberFormat="1" applyFont="1" applyFill="1" applyBorder="1" applyAlignment="1">
      <alignment vertical="center"/>
    </xf>
    <xf numFmtId="169" fontId="14" fillId="19" borderId="127" xfId="3" applyNumberFormat="1" applyFont="1" applyFill="1" applyBorder="1" applyAlignment="1">
      <alignment horizontal="right" vertical="center" indent="1"/>
    </xf>
    <xf numFmtId="0" fontId="64" fillId="0" borderId="0" xfId="0" applyFont="1" applyAlignment="1">
      <alignment vertical="center"/>
    </xf>
    <xf numFmtId="0" fontId="18" fillId="0" borderId="0" xfId="0" applyFont="1"/>
    <xf numFmtId="181" fontId="0" fillId="0" borderId="119" xfId="0" applyNumberFormat="1" applyBorder="1" applyAlignment="1">
      <alignment vertical="center"/>
    </xf>
    <xf numFmtId="181" fontId="0" fillId="0" borderId="120" xfId="0" applyNumberFormat="1" applyBorder="1" applyAlignment="1">
      <alignment vertical="center"/>
    </xf>
    <xf numFmtId="181" fontId="0" fillId="0" borderId="122" xfId="0" applyNumberFormat="1" applyBorder="1" applyAlignment="1">
      <alignment vertical="center"/>
    </xf>
    <xf numFmtId="181" fontId="0" fillId="0" borderId="123" xfId="0" applyNumberFormat="1" applyBorder="1" applyAlignment="1">
      <alignment vertical="center"/>
    </xf>
    <xf numFmtId="181" fontId="0" fillId="0" borderId="124" xfId="0" applyNumberFormat="1" applyBorder="1" applyAlignment="1">
      <alignment vertical="center"/>
    </xf>
    <xf numFmtId="181" fontId="0" fillId="0" borderId="125" xfId="0" applyNumberFormat="1" applyBorder="1" applyAlignment="1">
      <alignment vertical="center"/>
    </xf>
    <xf numFmtId="181" fontId="0" fillId="0" borderId="126" xfId="0" applyNumberFormat="1" applyBorder="1" applyAlignment="1">
      <alignment vertical="center"/>
    </xf>
    <xf numFmtId="181" fontId="0" fillId="0" borderId="127" xfId="0" applyNumberFormat="1" applyBorder="1" applyAlignment="1">
      <alignment vertical="center"/>
    </xf>
    <xf numFmtId="182" fontId="14" fillId="0" borderId="0" xfId="8" applyNumberFormat="1" applyFont="1" applyAlignment="1">
      <alignment vertical="center"/>
    </xf>
    <xf numFmtId="182" fontId="14" fillId="19" borderId="20" xfId="8" applyNumberFormat="1" applyFont="1" applyFill="1" applyBorder="1" applyAlignment="1">
      <alignment vertical="center"/>
    </xf>
    <xf numFmtId="182" fontId="14" fillId="19" borderId="17" xfId="8" applyNumberFormat="1" applyFont="1" applyFill="1" applyBorder="1" applyAlignment="1">
      <alignment vertical="center"/>
    </xf>
    <xf numFmtId="0" fontId="14" fillId="0" borderId="142" xfId="0" quotePrefix="1" applyFont="1" applyBorder="1" applyAlignment="1">
      <alignment horizontal="left" vertical="center" indent="1"/>
    </xf>
    <xf numFmtId="0" fontId="26" fillId="0" borderId="143" xfId="0" applyFont="1" applyBorder="1" applyAlignment="1">
      <alignment vertical="center"/>
    </xf>
    <xf numFmtId="0" fontId="13" fillId="0" borderId="145" xfId="0" applyFont="1" applyBorder="1" applyAlignment="1">
      <alignment horizontal="left" vertical="center" indent="2"/>
    </xf>
    <xf numFmtId="0" fontId="14" fillId="0" borderId="145" xfId="0" quotePrefix="1" applyFont="1" applyBorder="1" applyAlignment="1">
      <alignment horizontal="left" vertical="center" indent="1"/>
    </xf>
    <xf numFmtId="0" fontId="26" fillId="0" borderId="146" xfId="0" applyFont="1" applyBorder="1" applyAlignment="1">
      <alignment vertical="center"/>
    </xf>
    <xf numFmtId="0" fontId="13" fillId="0" borderId="148" xfId="0" applyFont="1" applyBorder="1" applyAlignment="1">
      <alignment horizontal="left" vertical="center" indent="2"/>
    </xf>
    <xf numFmtId="0" fontId="26" fillId="0" borderId="149" xfId="0" applyFont="1" applyBorder="1" applyAlignment="1">
      <alignment vertical="center"/>
    </xf>
    <xf numFmtId="0" fontId="14" fillId="0" borderId="145" xfId="0" applyFont="1" applyBorder="1" applyAlignment="1">
      <alignment horizontal="left" vertical="center" indent="1"/>
    </xf>
    <xf numFmtId="0" fontId="13" fillId="0" borderId="148" xfId="0" applyFont="1" applyBorder="1" applyAlignment="1">
      <alignment horizontal="left" vertical="center" indent="3"/>
    </xf>
    <xf numFmtId="182" fontId="2" fillId="0" borderId="0" xfId="313" applyNumberFormat="1" applyFont="1"/>
    <xf numFmtId="0" fontId="33" fillId="3" borderId="5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Continuous" vertical="center" wrapText="1"/>
    </xf>
    <xf numFmtId="0" fontId="33" fillId="3" borderId="61" xfId="210" applyFont="1" applyFill="1" applyBorder="1" applyAlignment="1">
      <alignment horizontal="center" vertical="center" wrapText="1"/>
    </xf>
    <xf numFmtId="0" fontId="33" fillId="3" borderId="62" xfId="210" applyFont="1" applyFill="1" applyBorder="1" applyAlignment="1">
      <alignment horizontal="center" vertical="center" wrapText="1"/>
    </xf>
    <xf numFmtId="0" fontId="33" fillId="3" borderId="90" xfId="210" applyFont="1" applyFill="1" applyBorder="1" applyAlignment="1">
      <alignment horizontal="center" vertical="center" wrapText="1"/>
    </xf>
    <xf numFmtId="0" fontId="33" fillId="3" borderId="63" xfId="210" applyFont="1" applyFill="1" applyBorder="1" applyAlignment="1">
      <alignment horizontal="center" vertical="center" wrapText="1"/>
    </xf>
    <xf numFmtId="0" fontId="33" fillId="3" borderId="87" xfId="0" applyFont="1" applyFill="1" applyBorder="1" applyAlignment="1">
      <alignment horizontal="centerContinuous" vertical="center"/>
    </xf>
    <xf numFmtId="0" fontId="33" fillId="3" borderId="88" xfId="0" applyFont="1" applyFill="1" applyBorder="1" applyAlignment="1">
      <alignment horizontal="centerContinuous" vertical="center"/>
    </xf>
    <xf numFmtId="0" fontId="33" fillId="3" borderId="89" xfId="0" applyFont="1" applyFill="1" applyBorder="1" applyAlignment="1">
      <alignment horizontal="centerContinuous" vertical="center"/>
    </xf>
    <xf numFmtId="0" fontId="13" fillId="0" borderId="151" xfId="0" applyFont="1" applyBorder="1" applyAlignment="1">
      <alignment horizontal="center" vertical="center"/>
    </xf>
    <xf numFmtId="3" fontId="0" fillId="0" borderId="152" xfId="0" applyNumberFormat="1" applyBorder="1" applyAlignment="1">
      <alignment vertical="center"/>
    </xf>
    <xf numFmtId="10" fontId="0" fillId="0" borderId="152" xfId="3" applyNumberFormat="1" applyFont="1" applyFill="1" applyBorder="1" applyAlignment="1">
      <alignment horizontal="center" vertical="center"/>
    </xf>
    <xf numFmtId="10" fontId="0" fillId="0" borderId="153" xfId="3" applyNumberFormat="1" applyFont="1" applyFill="1" applyBorder="1" applyAlignment="1">
      <alignment horizontal="center" vertical="center"/>
    </xf>
    <xf numFmtId="0" fontId="13" fillId="0" borderId="122" xfId="0" applyFont="1" applyBorder="1" applyAlignment="1">
      <alignment horizontal="center" vertical="center"/>
    </xf>
    <xf numFmtId="3" fontId="0" fillId="0" borderId="123" xfId="0" applyNumberFormat="1" applyBorder="1" applyAlignment="1">
      <alignment vertical="center"/>
    </xf>
    <xf numFmtId="10" fontId="0" fillId="0" borderId="123" xfId="3" applyNumberFormat="1" applyFont="1" applyFill="1" applyBorder="1" applyAlignment="1">
      <alignment horizontal="center" vertical="center"/>
    </xf>
    <xf numFmtId="10" fontId="0" fillId="0" borderId="124" xfId="3" applyNumberFormat="1" applyFont="1" applyFill="1" applyBorder="1" applyAlignment="1">
      <alignment horizontal="center" vertical="center"/>
    </xf>
    <xf numFmtId="0" fontId="13" fillId="0" borderId="125" xfId="0" applyFont="1" applyBorder="1" applyAlignment="1">
      <alignment horizontal="center" vertical="center"/>
    </xf>
    <xf numFmtId="3" fontId="0" fillId="0" borderId="126" xfId="0" applyNumberFormat="1" applyBorder="1" applyAlignment="1">
      <alignment vertical="center"/>
    </xf>
    <xf numFmtId="10" fontId="0" fillId="0" borderId="126" xfId="3" applyNumberFormat="1" applyFont="1" applyFill="1" applyBorder="1" applyAlignment="1">
      <alignment horizontal="center" vertical="center"/>
    </xf>
    <xf numFmtId="10" fontId="0" fillId="0" borderId="127" xfId="3" applyNumberFormat="1" applyFont="1" applyFill="1" applyBorder="1" applyAlignment="1">
      <alignment horizontal="center" vertical="center"/>
    </xf>
    <xf numFmtId="3" fontId="14" fillId="19" borderId="24" xfId="0" applyNumberFormat="1" applyFont="1" applyFill="1" applyBorder="1" applyAlignment="1">
      <alignment vertical="center"/>
    </xf>
    <xf numFmtId="10" fontId="14" fillId="19" borderId="24" xfId="3" applyNumberFormat="1" applyFont="1" applyFill="1" applyBorder="1" applyAlignment="1">
      <alignment horizontal="center" vertical="center"/>
    </xf>
    <xf numFmtId="10" fontId="14" fillId="19" borderId="17" xfId="3" applyNumberFormat="1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vertical="center"/>
    </xf>
    <xf numFmtId="0" fontId="13" fillId="0" borderId="154" xfId="0" applyFont="1" applyBorder="1" applyAlignment="1">
      <alignment horizontal="left" vertical="center" indent="1"/>
    </xf>
    <xf numFmtId="0" fontId="0" fillId="0" borderId="155" xfId="0" applyBorder="1" applyAlignment="1">
      <alignment vertical="center"/>
    </xf>
    <xf numFmtId="182" fontId="0" fillId="0" borderId="153" xfId="8" applyNumberFormat="1" applyFont="1" applyBorder="1" applyAlignment="1">
      <alignment vertical="center"/>
    </xf>
    <xf numFmtId="0" fontId="13" fillId="0" borderId="145" xfId="0" applyFont="1" applyBorder="1" applyAlignment="1">
      <alignment horizontal="left" vertical="center" indent="1"/>
    </xf>
    <xf numFmtId="0" fontId="0" fillId="0" borderId="146" xfId="0" applyBorder="1" applyAlignment="1">
      <alignment vertical="center"/>
    </xf>
    <xf numFmtId="182" fontId="0" fillId="0" borderId="124" xfId="8" applyNumberFormat="1" applyFont="1" applyBorder="1" applyAlignment="1">
      <alignment vertical="center"/>
    </xf>
    <xf numFmtId="9" fontId="0" fillId="0" borderId="124" xfId="0" applyNumberFormat="1" applyBorder="1" applyAlignment="1">
      <alignment horizontal="right" vertical="center" indent="2"/>
    </xf>
    <xf numFmtId="0" fontId="13" fillId="0" borderId="148" xfId="0" applyFont="1" applyBorder="1" applyAlignment="1">
      <alignment horizontal="left" vertical="center" indent="1"/>
    </xf>
    <xf numFmtId="0" fontId="0" fillId="0" borderId="149" xfId="0" applyBorder="1" applyAlignment="1">
      <alignment vertical="center"/>
    </xf>
    <xf numFmtId="182" fontId="0" fillId="0" borderId="127" xfId="8" applyNumberFormat="1" applyFont="1" applyBorder="1" applyAlignment="1">
      <alignment vertical="center"/>
    </xf>
    <xf numFmtId="181" fontId="0" fillId="54" borderId="120" xfId="0" applyNumberFormat="1" applyFill="1" applyBorder="1" applyAlignment="1">
      <alignment vertical="center"/>
    </xf>
    <xf numFmtId="181" fontId="0" fillId="54" borderId="121" xfId="0" applyNumberFormat="1" applyFill="1" applyBorder="1" applyAlignment="1">
      <alignment vertical="center"/>
    </xf>
    <xf numFmtId="169" fontId="0" fillId="0" borderId="124" xfId="3" applyNumberFormat="1" applyFont="1" applyBorder="1" applyAlignment="1">
      <alignment horizontal="right" vertical="center"/>
    </xf>
    <xf numFmtId="182" fontId="0" fillId="0" borderId="139" xfId="8" applyNumberFormat="1" applyFont="1" applyBorder="1" applyAlignment="1">
      <alignment vertical="center"/>
    </xf>
    <xf numFmtId="169" fontId="0" fillId="0" borderId="140" xfId="3" applyNumberFormat="1" applyFont="1" applyBorder="1" applyAlignment="1">
      <alignment horizontal="right" vertical="center"/>
    </xf>
    <xf numFmtId="182" fontId="14" fillId="19" borderId="93" xfId="8" applyNumberFormat="1" applyFont="1" applyFill="1" applyBorder="1" applyAlignment="1">
      <alignment vertical="center"/>
    </xf>
    <xf numFmtId="169" fontId="14" fillId="19" borderId="83" xfId="3" applyNumberFormat="1" applyFont="1" applyFill="1" applyBorder="1" applyAlignment="1">
      <alignment horizontal="right" vertical="center"/>
    </xf>
    <xf numFmtId="175" fontId="0" fillId="0" borderId="123" xfId="8" applyNumberFormat="1" applyFont="1" applyBorder="1" applyAlignment="1">
      <alignment vertical="center"/>
    </xf>
    <xf numFmtId="175" fontId="0" fillId="0" borderId="124" xfId="8" applyNumberFormat="1" applyFont="1" applyBorder="1" applyAlignment="1">
      <alignment vertical="center"/>
    </xf>
    <xf numFmtId="175" fontId="0" fillId="0" borderId="126" xfId="8" applyNumberFormat="1" applyFont="1" applyBorder="1" applyAlignment="1">
      <alignment vertical="center"/>
    </xf>
    <xf numFmtId="175" fontId="0" fillId="0" borderId="127" xfId="8" applyNumberFormat="1" applyFont="1" applyBorder="1" applyAlignment="1">
      <alignment vertical="center"/>
    </xf>
    <xf numFmtId="181" fontId="2" fillId="0" borderId="21" xfId="315" applyNumberFormat="1" applyFont="1" applyBorder="1" applyAlignment="1">
      <alignment vertical="center"/>
    </xf>
    <xf numFmtId="181" fontId="2" fillId="0" borderId="13" xfId="315" applyNumberFormat="1" applyFont="1" applyBorder="1" applyAlignment="1">
      <alignment vertical="center"/>
    </xf>
    <xf numFmtId="0" fontId="2" fillId="0" borderId="59" xfId="0" applyFont="1" applyBorder="1" applyAlignment="1">
      <alignment horizontal="left" vertical="center" indent="1"/>
    </xf>
    <xf numFmtId="168" fontId="0" fillId="0" borderId="129" xfId="1" applyNumberFormat="1" applyFont="1" applyBorder="1" applyAlignment="1">
      <alignment horizontal="center" vertical="center"/>
    </xf>
    <xf numFmtId="168" fontId="0" fillId="0" borderId="69" xfId="1" applyNumberFormat="1" applyFont="1" applyBorder="1" applyAlignment="1">
      <alignment horizontal="center" vertical="center"/>
    </xf>
    <xf numFmtId="0" fontId="13" fillId="0" borderId="98" xfId="0" applyFont="1" applyBorder="1" applyAlignment="1">
      <alignment horizontal="left" vertical="center" indent="1"/>
    </xf>
    <xf numFmtId="172" fontId="23" fillId="51" borderId="57" xfId="315" applyNumberFormat="1" applyFont="1" applyFill="1" applyBorder="1" applyAlignment="1">
      <alignment horizontal="center" vertical="center" wrapText="1"/>
    </xf>
    <xf numFmtId="172" fontId="23" fillId="51" borderId="128" xfId="315" applyNumberFormat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indent="1"/>
    </xf>
    <xf numFmtId="178" fontId="5" fillId="0" borderId="126" xfId="8" applyNumberFormat="1" applyFont="1" applyFill="1" applyBorder="1" applyAlignment="1">
      <alignment vertical="center"/>
    </xf>
    <xf numFmtId="10" fontId="5" fillId="0" borderId="18" xfId="3" applyNumberFormat="1" applyFont="1" applyFill="1" applyBorder="1" applyAlignment="1">
      <alignment vertical="center"/>
    </xf>
    <xf numFmtId="178" fontId="5" fillId="55" borderId="120" xfId="8" applyNumberFormat="1" applyFont="1" applyFill="1" applyBorder="1" applyAlignment="1">
      <alignment vertical="center"/>
    </xf>
    <xf numFmtId="0" fontId="2" fillId="0" borderId="58" xfId="313" applyFont="1" applyBorder="1" applyAlignment="1">
      <alignment horizontal="left" vertical="center" indent="1"/>
    </xf>
    <xf numFmtId="0" fontId="2" fillId="0" borderId="59" xfId="313" applyFont="1" applyBorder="1" applyAlignment="1">
      <alignment horizontal="left" vertical="center" indent="1"/>
    </xf>
    <xf numFmtId="182" fontId="0" fillId="0" borderId="93" xfId="8" applyNumberFormat="1" applyFont="1" applyBorder="1" applyAlignment="1">
      <alignment vertical="center"/>
    </xf>
    <xf numFmtId="169" fontId="0" fillId="0" borderId="140" xfId="3" applyNumberFormat="1" applyFont="1" applyBorder="1" applyAlignment="1">
      <alignment horizontal="right" vertical="center" indent="1"/>
    </xf>
    <xf numFmtId="169" fontId="0" fillId="0" borderId="83" xfId="3" applyNumberFormat="1" applyFont="1" applyBorder="1" applyAlignment="1">
      <alignment horizontal="right" vertical="center" indent="1"/>
    </xf>
    <xf numFmtId="182" fontId="0" fillId="0" borderId="0" xfId="0" applyNumberFormat="1" applyAlignment="1">
      <alignment vertical="center"/>
    </xf>
    <xf numFmtId="171" fontId="14" fillId="0" borderId="0" xfId="0" applyNumberFormat="1" applyFont="1" applyAlignment="1">
      <alignment vertical="center"/>
    </xf>
    <xf numFmtId="188" fontId="2" fillId="0" borderId="21" xfId="8" applyNumberFormat="1" applyFont="1" applyBorder="1" applyAlignment="1">
      <alignment vertical="center"/>
    </xf>
    <xf numFmtId="188" fontId="2" fillId="0" borderId="13" xfId="8" applyNumberFormat="1" applyFont="1" applyBorder="1" applyAlignment="1">
      <alignment vertical="center"/>
    </xf>
    <xf numFmtId="188" fontId="24" fillId="19" borderId="38" xfId="8" applyNumberFormat="1" applyFont="1" applyFill="1" applyBorder="1" applyAlignment="1">
      <alignment vertical="center"/>
    </xf>
    <xf numFmtId="188" fontId="24" fillId="19" borderId="29" xfId="8" applyNumberFormat="1" applyFont="1" applyFill="1" applyBorder="1" applyAlignment="1">
      <alignment vertical="center"/>
    </xf>
    <xf numFmtId="188" fontId="2" fillId="0" borderId="132" xfId="8" applyNumberFormat="1" applyFont="1" applyBorder="1" applyAlignment="1">
      <alignment vertical="center"/>
    </xf>
    <xf numFmtId="181" fontId="5" fillId="0" borderId="123" xfId="8" applyNumberFormat="1" applyFont="1" applyBorder="1" applyAlignment="1">
      <alignment vertical="center"/>
    </xf>
    <xf numFmtId="181" fontId="5" fillId="0" borderId="120" xfId="8" applyNumberFormat="1" applyFont="1" applyBorder="1" applyAlignment="1">
      <alignment vertical="center"/>
    </xf>
    <xf numFmtId="181" fontId="5" fillId="54" borderId="120" xfId="8" applyNumberFormat="1" applyFont="1" applyFill="1" applyBorder="1" applyAlignment="1">
      <alignment vertical="center"/>
    </xf>
    <xf numFmtId="181" fontId="5" fillId="54" borderId="121" xfId="8" applyNumberFormat="1" applyFont="1" applyFill="1" applyBorder="1" applyAlignment="1">
      <alignment vertical="center"/>
    </xf>
    <xf numFmtId="181" fontId="5" fillId="0" borderId="124" xfId="8" applyNumberFormat="1" applyFont="1" applyBorder="1" applyAlignment="1">
      <alignment vertical="center"/>
    </xf>
    <xf numFmtId="181" fontId="5" fillId="0" borderId="126" xfId="8" applyNumberFormat="1" applyFont="1" applyBorder="1" applyAlignment="1">
      <alignment vertical="center"/>
    </xf>
    <xf numFmtId="181" fontId="5" fillId="0" borderId="127" xfId="8" applyNumberFormat="1" applyFont="1" applyBorder="1" applyAlignment="1">
      <alignment vertical="center"/>
    </xf>
    <xf numFmtId="172" fontId="5" fillId="0" borderId="0" xfId="8" applyNumberFormat="1" applyFont="1" applyFill="1" applyBorder="1" applyAlignment="1">
      <alignment vertical="center"/>
    </xf>
    <xf numFmtId="0" fontId="5" fillId="0" borderId="84" xfId="0" applyFont="1" applyBorder="1" applyAlignment="1">
      <alignment horizontal="center" vertical="center"/>
    </xf>
    <xf numFmtId="172" fontId="5" fillId="0" borderId="64" xfId="8" applyNumberFormat="1" applyFont="1" applyFill="1" applyBorder="1" applyAlignment="1">
      <alignment vertical="center"/>
    </xf>
    <xf numFmtId="181" fontId="5" fillId="0" borderId="42" xfId="8" applyNumberFormat="1" applyFont="1" applyBorder="1" applyAlignment="1">
      <alignment vertical="center"/>
    </xf>
    <xf numFmtId="181" fontId="5" fillId="0" borderId="22" xfId="8" applyNumberFormat="1" applyFont="1" applyFill="1" applyBorder="1" applyAlignment="1">
      <alignment vertical="center"/>
    </xf>
    <xf numFmtId="181" fontId="5" fillId="0" borderId="14" xfId="8" applyNumberFormat="1" applyFont="1" applyFill="1" applyBorder="1" applyAlignment="1">
      <alignment vertical="center"/>
    </xf>
    <xf numFmtId="188" fontId="2" fillId="0" borderId="52" xfId="8" applyNumberFormat="1" applyFont="1" applyBorder="1" applyAlignment="1">
      <alignment vertical="center"/>
    </xf>
    <xf numFmtId="188" fontId="2" fillId="0" borderId="136" xfId="8" applyNumberFormat="1" applyFont="1" applyBorder="1" applyAlignment="1">
      <alignment vertical="center"/>
    </xf>
    <xf numFmtId="188" fontId="24" fillId="19" borderId="106" xfId="8" applyNumberFormat="1" applyFont="1" applyFill="1" applyBorder="1" applyAlignment="1">
      <alignment vertical="center"/>
    </xf>
    <xf numFmtId="178" fontId="5" fillId="0" borderId="123" xfId="8" applyNumberFormat="1" applyFont="1" applyFill="1" applyBorder="1" applyAlignment="1">
      <alignment vertical="center"/>
    </xf>
    <xf numFmtId="181" fontId="0" fillId="0" borderId="15" xfId="0" applyNumberFormat="1" applyBorder="1"/>
    <xf numFmtId="182" fontId="14" fillId="0" borderId="37" xfId="8" applyNumberFormat="1" applyFont="1" applyFill="1" applyBorder="1" applyAlignment="1">
      <alignment vertical="center"/>
    </xf>
    <xf numFmtId="182" fontId="14" fillId="0" borderId="70" xfId="8" applyNumberFormat="1" applyFont="1" applyBorder="1" applyAlignment="1">
      <alignment vertical="center"/>
    </xf>
    <xf numFmtId="182" fontId="14" fillId="0" borderId="14" xfId="8" applyNumberFormat="1" applyFont="1" applyBorder="1" applyAlignment="1">
      <alignment vertical="center"/>
    </xf>
    <xf numFmtId="182" fontId="14" fillId="0" borderId="43" xfId="8" applyNumberFormat="1" applyFont="1" applyBorder="1" applyAlignment="1">
      <alignment vertical="center"/>
    </xf>
    <xf numFmtId="182" fontId="14" fillId="0" borderId="44" xfId="8" applyNumberFormat="1" applyFont="1" applyBorder="1" applyAlignment="1">
      <alignment vertical="center"/>
    </xf>
    <xf numFmtId="182" fontId="0" fillId="0" borderId="32" xfId="8" applyNumberFormat="1" applyFont="1" applyFill="1" applyBorder="1" applyAlignment="1">
      <alignment vertical="center"/>
    </xf>
    <xf numFmtId="182" fontId="0" fillId="0" borderId="97" xfId="8" applyNumberFormat="1" applyFont="1" applyFill="1" applyBorder="1" applyAlignment="1">
      <alignment vertical="center"/>
    </xf>
    <xf numFmtId="182" fontId="0" fillId="0" borderId="98" xfId="8" applyNumberFormat="1" applyFont="1" applyFill="1" applyBorder="1" applyAlignment="1">
      <alignment vertical="center"/>
    </xf>
    <xf numFmtId="182" fontId="0" fillId="0" borderId="41" xfId="8" applyNumberFormat="1" applyFont="1" applyFill="1" applyBorder="1" applyAlignment="1">
      <alignment vertical="center"/>
    </xf>
    <xf numFmtId="182" fontId="0" fillId="0" borderId="22" xfId="8" applyNumberFormat="1" applyFont="1" applyFill="1" applyBorder="1" applyAlignment="1">
      <alignment vertical="center"/>
    </xf>
    <xf numFmtId="182" fontId="0" fillId="0" borderId="42" xfId="8" applyNumberFormat="1" applyFont="1" applyFill="1" applyBorder="1" applyAlignment="1">
      <alignment vertical="center"/>
    </xf>
    <xf numFmtId="182" fontId="0" fillId="0" borderId="23" xfId="8" applyNumberFormat="1" applyFont="1" applyFill="1" applyBorder="1" applyAlignment="1">
      <alignment vertical="center"/>
    </xf>
    <xf numFmtId="182" fontId="0" fillId="0" borderId="22" xfId="198" applyNumberFormat="1" applyFont="1" applyBorder="1" applyAlignment="1">
      <alignment vertical="center"/>
    </xf>
    <xf numFmtId="182" fontId="0" fillId="0" borderId="13" xfId="198" applyNumberFormat="1" applyFont="1" applyBorder="1" applyAlignment="1">
      <alignment vertical="center"/>
    </xf>
    <xf numFmtId="182" fontId="0" fillId="0" borderId="14" xfId="198" applyNumberFormat="1" applyFont="1" applyBorder="1" applyAlignment="1">
      <alignment vertical="center"/>
    </xf>
    <xf numFmtId="182" fontId="0" fillId="0" borderId="23" xfId="198" applyNumberFormat="1" applyFont="1" applyBorder="1" applyAlignment="1">
      <alignment vertical="center"/>
    </xf>
    <xf numFmtId="182" fontId="0" fillId="0" borderId="15" xfId="198" applyNumberFormat="1" applyFont="1" applyBorder="1" applyAlignment="1">
      <alignment vertical="center"/>
    </xf>
    <xf numFmtId="182" fontId="14" fillId="0" borderId="0" xfId="198" applyNumberFormat="1" applyFont="1" applyAlignment="1">
      <alignment vertical="center"/>
    </xf>
    <xf numFmtId="182" fontId="0" fillId="0" borderId="0" xfId="198" applyNumberFormat="1" applyFont="1" applyAlignment="1">
      <alignment vertical="center"/>
    </xf>
    <xf numFmtId="182" fontId="14" fillId="19" borderId="20" xfId="198" applyNumberFormat="1" applyFont="1" applyFill="1" applyBorder="1" applyAlignment="1">
      <alignment vertical="center"/>
    </xf>
    <xf numFmtId="182" fontId="14" fillId="19" borderId="17" xfId="198" applyNumberFormat="1" applyFont="1" applyFill="1" applyBorder="1" applyAlignment="1">
      <alignment vertical="center"/>
    </xf>
    <xf numFmtId="169" fontId="0" fillId="0" borderId="18" xfId="3" applyNumberFormat="1" applyFont="1" applyFill="1" applyBorder="1" applyAlignment="1">
      <alignment horizontal="right" vertical="center" indent="1"/>
    </xf>
    <xf numFmtId="169" fontId="0" fillId="0" borderId="14" xfId="3" applyNumberFormat="1" applyFont="1" applyFill="1" applyBorder="1" applyAlignment="1">
      <alignment horizontal="right" vertical="center" indent="1"/>
    </xf>
    <xf numFmtId="169" fontId="0" fillId="0" borderId="19" xfId="3" applyNumberFormat="1" applyFont="1" applyFill="1" applyBorder="1" applyAlignment="1">
      <alignment horizontal="right" vertical="center" indent="1"/>
    </xf>
    <xf numFmtId="169" fontId="0" fillId="0" borderId="15" xfId="3" applyNumberFormat="1" applyFont="1" applyFill="1" applyBorder="1" applyAlignment="1">
      <alignment horizontal="right" vertical="center" indent="1"/>
    </xf>
    <xf numFmtId="169" fontId="21" fillId="0" borderId="0" xfId="0" applyNumberFormat="1" applyFont="1" applyAlignment="1">
      <alignment vertical="center"/>
    </xf>
    <xf numFmtId="187" fontId="2" fillId="0" borderId="21" xfId="8" applyNumberFormat="1" applyFont="1" applyBorder="1" applyAlignment="1">
      <alignment vertical="center"/>
    </xf>
    <xf numFmtId="187" fontId="2" fillId="0" borderId="13" xfId="8" applyNumberFormat="1" applyFont="1" applyBorder="1" applyAlignment="1">
      <alignment vertical="center"/>
    </xf>
    <xf numFmtId="187" fontId="2" fillId="0" borderId="132" xfId="8" applyNumberFormat="1" applyFont="1" applyBorder="1" applyAlignment="1">
      <alignment vertical="center"/>
    </xf>
    <xf numFmtId="187" fontId="2" fillId="0" borderId="137" xfId="8" applyNumberFormat="1" applyFont="1" applyBorder="1" applyAlignment="1">
      <alignment vertical="center"/>
    </xf>
    <xf numFmtId="187" fontId="24" fillId="19" borderId="38" xfId="8" applyNumberFormat="1" applyFont="1" applyFill="1" applyBorder="1" applyAlignment="1">
      <alignment vertical="center"/>
    </xf>
    <xf numFmtId="187" fontId="24" fillId="19" borderId="29" xfId="8" applyNumberFormat="1" applyFont="1" applyFill="1" applyBorder="1" applyAlignment="1">
      <alignment vertical="center"/>
    </xf>
    <xf numFmtId="184" fontId="2" fillId="0" borderId="0" xfId="313" applyNumberFormat="1" applyFont="1"/>
    <xf numFmtId="9" fontId="14" fillId="0" borderId="0" xfId="3" applyFont="1" applyAlignment="1">
      <alignment vertical="center"/>
    </xf>
    <xf numFmtId="172" fontId="23" fillId="51" borderId="114" xfId="8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26" fillId="0" borderId="157" xfId="0" applyFont="1" applyBorder="1" applyAlignment="1">
      <alignment vertical="center"/>
    </xf>
    <xf numFmtId="0" fontId="13" fillId="0" borderId="156" xfId="0" applyFont="1" applyBorder="1" applyAlignment="1">
      <alignment horizontal="left" vertical="center" indent="3"/>
    </xf>
    <xf numFmtId="167" fontId="0" fillId="0" borderId="21" xfId="8" applyFont="1" applyBorder="1"/>
    <xf numFmtId="167" fontId="0" fillId="0" borderId="13" xfId="8" applyFont="1" applyBorder="1"/>
    <xf numFmtId="167" fontId="0" fillId="0" borderId="22" xfId="8" applyFont="1" applyBorder="1"/>
    <xf numFmtId="167" fontId="0" fillId="0" borderId="14" xfId="8" applyFont="1" applyBorder="1"/>
    <xf numFmtId="167" fontId="0" fillId="0" borderId="23" xfId="8" applyFont="1" applyBorder="1"/>
    <xf numFmtId="167" fontId="0" fillId="0" borderId="15" xfId="8" applyFont="1" applyBorder="1"/>
    <xf numFmtId="172" fontId="24" fillId="0" borderId="81" xfId="0" applyNumberFormat="1" applyFont="1" applyBorder="1" applyAlignment="1">
      <alignment vertical="center"/>
    </xf>
    <xf numFmtId="166" fontId="14" fillId="0" borderId="0" xfId="0" applyNumberFormat="1" applyFont="1" applyAlignment="1">
      <alignment vertical="center"/>
    </xf>
    <xf numFmtId="167" fontId="0" fillId="0" borderId="120" xfId="8" applyFont="1" applyBorder="1"/>
    <xf numFmtId="167" fontId="0" fillId="0" borderId="123" xfId="8" applyFont="1" applyBorder="1"/>
    <xf numFmtId="167" fontId="0" fillId="0" borderId="126" xfId="8" applyFont="1" applyBorder="1"/>
    <xf numFmtId="167" fontId="14" fillId="19" borderId="24" xfId="8" applyFont="1" applyFill="1" applyBorder="1" applyAlignment="1">
      <alignment vertical="center"/>
    </xf>
    <xf numFmtId="167" fontId="0" fillId="0" borderId="119" xfId="8" applyFont="1" applyBorder="1"/>
    <xf numFmtId="167" fontId="0" fillId="0" borderId="121" xfId="8" applyFont="1" applyBorder="1"/>
    <xf numFmtId="167" fontId="0" fillId="0" borderId="122" xfId="8" applyFont="1" applyBorder="1"/>
    <xf numFmtId="167" fontId="0" fillId="0" borderId="124" xfId="8" applyFont="1" applyBorder="1"/>
    <xf numFmtId="167" fontId="0" fillId="0" borderId="125" xfId="8" applyFont="1" applyBorder="1"/>
    <xf numFmtId="167" fontId="0" fillId="0" borderId="127" xfId="8" applyFont="1" applyBorder="1"/>
    <xf numFmtId="171" fontId="24" fillId="0" borderId="144" xfId="198" applyNumberFormat="1" applyFont="1" applyFill="1" applyBorder="1" applyAlignment="1">
      <alignment vertical="center"/>
    </xf>
    <xf numFmtId="171" fontId="24" fillId="0" borderId="147" xfId="198" applyNumberFormat="1" applyFont="1" applyFill="1" applyBorder="1" applyAlignment="1">
      <alignment vertical="center"/>
    </xf>
    <xf numFmtId="171" fontId="2" fillId="0" borderId="147" xfId="198" applyNumberFormat="1" applyFont="1" applyFill="1" applyBorder="1" applyAlignment="1">
      <alignment vertical="center"/>
    </xf>
    <xf numFmtId="171" fontId="28" fillId="0" borderId="147" xfId="198" applyNumberFormat="1" applyFont="1" applyFill="1" applyBorder="1" applyAlignment="1">
      <alignment vertical="center"/>
    </xf>
    <xf numFmtId="172" fontId="23" fillId="51" borderId="159" xfId="8" applyNumberFormat="1" applyFont="1" applyFill="1" applyBorder="1" applyAlignment="1">
      <alignment horizontal="center" vertical="center"/>
    </xf>
    <xf numFmtId="172" fontId="23" fillId="51" borderId="160" xfId="8" applyNumberFormat="1" applyFont="1" applyFill="1" applyBorder="1" applyAlignment="1">
      <alignment horizontal="center" vertical="center"/>
    </xf>
    <xf numFmtId="172" fontId="23" fillId="51" borderId="161" xfId="8" applyNumberFormat="1" applyFont="1" applyFill="1" applyBorder="1" applyAlignment="1">
      <alignment horizontal="center" vertical="center"/>
    </xf>
    <xf numFmtId="181" fontId="0" fillId="0" borderId="162" xfId="0" applyNumberFormat="1" applyBorder="1"/>
    <xf numFmtId="181" fontId="0" fillId="0" borderId="163" xfId="0" applyNumberFormat="1" applyBorder="1"/>
    <xf numFmtId="181" fontId="0" fillId="0" borderId="164" xfId="0" applyNumberFormat="1" applyBorder="1"/>
    <xf numFmtId="171" fontId="26" fillId="0" borderId="147" xfId="198" applyNumberFormat="1" applyFont="1" applyFill="1" applyBorder="1" applyAlignment="1">
      <alignment horizontal="right" vertical="center"/>
    </xf>
    <xf numFmtId="171" fontId="26" fillId="0" borderId="158" xfId="198" applyNumberFormat="1" applyFont="1" applyFill="1" applyBorder="1" applyAlignment="1">
      <alignment horizontal="right" vertical="center"/>
    </xf>
    <xf numFmtId="171" fontId="26" fillId="0" borderId="150" xfId="198" applyNumberFormat="1" applyFont="1" applyFill="1" applyBorder="1" applyAlignment="1">
      <alignment horizontal="right" vertical="center"/>
    </xf>
    <xf numFmtId="169" fontId="13" fillId="0" borderId="0" xfId="3" applyNumberFormat="1" applyFont="1" applyAlignment="1">
      <alignment vertical="center"/>
    </xf>
    <xf numFmtId="0" fontId="13" fillId="0" borderId="0" xfId="0" applyFont="1" applyAlignment="1">
      <alignment vertical="center"/>
    </xf>
    <xf numFmtId="167" fontId="14" fillId="0" borderId="0" xfId="8" applyFont="1" applyAlignment="1">
      <alignment vertical="center"/>
    </xf>
    <xf numFmtId="171" fontId="2" fillId="0" borderId="147" xfId="198" applyNumberFormat="1" applyFont="1" applyFill="1" applyBorder="1" applyAlignment="1">
      <alignment horizontal="right" vertical="center"/>
    </xf>
    <xf numFmtId="171" fontId="2" fillId="0" borderId="64" xfId="198" applyNumberFormat="1" applyFont="1" applyFill="1" applyBorder="1" applyAlignment="1">
      <alignment vertical="center"/>
    </xf>
    <xf numFmtId="171" fontId="2" fillId="0" borderId="150" xfId="198" applyNumberFormat="1" applyFont="1" applyFill="1" applyBorder="1" applyAlignment="1">
      <alignment vertical="center"/>
    </xf>
    <xf numFmtId="188" fontId="2" fillId="0" borderId="137" xfId="8" applyNumberFormat="1" applyFont="1" applyBorder="1" applyAlignment="1">
      <alignment vertical="center"/>
    </xf>
    <xf numFmtId="167" fontId="0" fillId="0" borderId="0" xfId="198" applyFont="1"/>
    <xf numFmtId="181" fontId="5" fillId="0" borderId="52" xfId="8" applyNumberFormat="1" applyFont="1" applyFill="1" applyBorder="1" applyAlignment="1">
      <alignment vertical="center"/>
    </xf>
    <xf numFmtId="181" fontId="5" fillId="0" borderId="21" xfId="8" applyNumberFormat="1" applyFont="1" applyFill="1" applyBorder="1" applyAlignment="1">
      <alignment vertical="center"/>
    </xf>
    <xf numFmtId="181" fontId="5" fillId="0" borderId="13" xfId="8" applyNumberFormat="1" applyFont="1" applyFill="1" applyBorder="1" applyAlignment="1">
      <alignment vertical="center"/>
    </xf>
    <xf numFmtId="181" fontId="5" fillId="0" borderId="41" xfId="8" applyNumberFormat="1" applyFont="1" applyFill="1" applyBorder="1" applyAlignment="1">
      <alignment vertical="center"/>
    </xf>
    <xf numFmtId="181" fontId="5" fillId="0" borderId="42" xfId="8" applyNumberFormat="1" applyFont="1" applyFill="1" applyBorder="1" applyAlignment="1">
      <alignment vertical="center"/>
    </xf>
    <xf numFmtId="172" fontId="23" fillId="56" borderId="56" xfId="8" applyNumberFormat="1" applyFont="1" applyFill="1" applyBorder="1" applyAlignment="1">
      <alignment horizontal="centerContinuous" vertical="center" wrapText="1"/>
    </xf>
    <xf numFmtId="0" fontId="23" fillId="56" borderId="35" xfId="0" applyFont="1" applyFill="1" applyBorder="1" applyAlignment="1">
      <alignment horizontal="centerContinuous" vertical="center"/>
    </xf>
    <xf numFmtId="0" fontId="23" fillId="56" borderId="10" xfId="0" applyFont="1" applyFill="1" applyBorder="1" applyAlignment="1">
      <alignment horizontal="centerContinuous" vertical="center"/>
    </xf>
    <xf numFmtId="0" fontId="23" fillId="56" borderId="36" xfId="0" applyFont="1" applyFill="1" applyBorder="1" applyAlignment="1">
      <alignment horizontal="centerContinuous" vertical="center"/>
    </xf>
    <xf numFmtId="172" fontId="23" fillId="56" borderId="54" xfId="8" applyNumberFormat="1" applyFont="1" applyFill="1" applyBorder="1" applyAlignment="1">
      <alignment horizontal="centerContinuous" vertical="center" wrapText="1"/>
    </xf>
    <xf numFmtId="172" fontId="23" fillId="56" borderId="55" xfId="8" applyNumberFormat="1" applyFont="1" applyFill="1" applyBorder="1" applyAlignment="1">
      <alignment horizontal="centerContinuous" vertical="center" wrapText="1"/>
    </xf>
    <xf numFmtId="172" fontId="23" fillId="56" borderId="115" xfId="8" applyNumberFormat="1" applyFont="1" applyFill="1" applyBorder="1" applyAlignment="1">
      <alignment horizontal="center" vertical="center"/>
    </xf>
    <xf numFmtId="172" fontId="23" fillId="56" borderId="116" xfId="8" applyNumberFormat="1" applyFont="1" applyFill="1" applyBorder="1" applyAlignment="1">
      <alignment horizontal="center" vertical="center"/>
    </xf>
    <xf numFmtId="171" fontId="33" fillId="56" borderId="30" xfId="198" applyNumberFormat="1" applyFont="1" applyFill="1" applyBorder="1" applyAlignment="1">
      <alignment horizontal="center" vertical="center" wrapText="1"/>
    </xf>
    <xf numFmtId="171" fontId="27" fillId="56" borderId="86" xfId="198" applyNumberFormat="1" applyFont="1" applyFill="1" applyBorder="1" applyAlignment="1">
      <alignment vertical="center"/>
    </xf>
    <xf numFmtId="171" fontId="33" fillId="56" borderId="86" xfId="198" applyNumberFormat="1" applyFont="1" applyFill="1" applyBorder="1" applyAlignment="1">
      <alignment vertical="center"/>
    </xf>
    <xf numFmtId="167" fontId="14" fillId="19" borderId="4" xfId="8" applyFont="1" applyFill="1" applyBorder="1" applyAlignment="1">
      <alignment vertical="center"/>
    </xf>
    <xf numFmtId="167" fontId="14" fillId="19" borderId="17" xfId="8" applyFont="1" applyFill="1" applyBorder="1" applyAlignment="1">
      <alignment vertical="center"/>
    </xf>
    <xf numFmtId="168" fontId="13" fillId="0" borderId="129" xfId="1" applyNumberFormat="1" applyFont="1" applyBorder="1" applyAlignment="1">
      <alignment horizontal="center" vertical="center"/>
    </xf>
    <xf numFmtId="168" fontId="0" fillId="0" borderId="129" xfId="1" applyNumberFormat="1" applyFont="1" applyBorder="1" applyAlignment="1">
      <alignment horizontal="center" vertical="center"/>
    </xf>
    <xf numFmtId="168" fontId="0" fillId="0" borderId="27" xfId="1" applyNumberFormat="1" applyFont="1" applyBorder="1" applyAlignment="1">
      <alignment horizontal="center" vertical="center"/>
    </xf>
    <xf numFmtId="0" fontId="16" fillId="56" borderId="95" xfId="0" applyFont="1" applyFill="1" applyBorder="1" applyAlignment="1">
      <alignment horizontal="left" vertical="center" wrapText="1" indent="1"/>
    </xf>
    <xf numFmtId="0" fontId="16" fillId="56" borderId="117" xfId="0" applyFont="1" applyFill="1" applyBorder="1" applyAlignment="1">
      <alignment horizontal="left" vertical="center" wrapText="1" indent="1"/>
    </xf>
    <xf numFmtId="0" fontId="16" fillId="56" borderId="95" xfId="0" applyFont="1" applyFill="1" applyBorder="1" applyAlignment="1">
      <alignment horizontal="left" vertical="center" wrapText="1"/>
    </xf>
    <xf numFmtId="0" fontId="16" fillId="56" borderId="117" xfId="0" applyFont="1" applyFill="1" applyBorder="1" applyAlignment="1">
      <alignment horizontal="left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6" fillId="3" borderId="4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4" fontId="6" fillId="0" borderId="25" xfId="0" applyNumberFormat="1" applyFont="1" applyBorder="1" applyAlignment="1">
      <alignment horizontal="center" vertical="center"/>
    </xf>
    <xf numFmtId="4" fontId="6" fillId="0" borderId="69" xfId="0" applyNumberFormat="1" applyFont="1" applyBorder="1" applyAlignment="1">
      <alignment horizontal="center" vertical="center"/>
    </xf>
    <xf numFmtId="4" fontId="6" fillId="0" borderId="58" xfId="0" applyNumberFormat="1" applyFont="1" applyBorder="1" applyAlignment="1">
      <alignment horizontal="center" vertical="center"/>
    </xf>
    <xf numFmtId="4" fontId="6" fillId="0" borderId="59" xfId="0" applyNumberFormat="1" applyFont="1" applyBorder="1" applyAlignment="1">
      <alignment horizontal="center" vertical="center"/>
    </xf>
    <xf numFmtId="0" fontId="60" fillId="0" borderId="0" xfId="0" applyFont="1" applyAlignment="1">
      <alignment horizontal="left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68" xfId="0" applyFont="1" applyFill="1" applyBorder="1" applyAlignment="1">
      <alignment horizontal="center" vertical="center" wrapText="1"/>
    </xf>
    <xf numFmtId="0" fontId="33" fillId="51" borderId="57" xfId="0" applyFont="1" applyFill="1" applyBorder="1" applyAlignment="1">
      <alignment horizontal="center" vertical="center" wrapText="1"/>
    </xf>
    <xf numFmtId="0" fontId="33" fillId="51" borderId="114" xfId="0" applyFont="1" applyFill="1" applyBorder="1" applyAlignment="1">
      <alignment horizontal="center" vertical="center" wrapText="1"/>
    </xf>
    <xf numFmtId="0" fontId="33" fillId="2" borderId="87" xfId="0" applyFont="1" applyFill="1" applyBorder="1" applyAlignment="1">
      <alignment vertical="center" wrapText="1"/>
    </xf>
    <xf numFmtId="0" fontId="33" fillId="2" borderId="88" xfId="0" applyFont="1" applyFill="1" applyBorder="1" applyAlignment="1">
      <alignment vertical="center" wrapText="1"/>
    </xf>
    <xf numFmtId="0" fontId="33" fillId="2" borderId="89" xfId="0" applyFont="1" applyFill="1" applyBorder="1" applyAlignment="1">
      <alignment vertical="center" wrapText="1"/>
    </xf>
    <xf numFmtId="0" fontId="33" fillId="2" borderId="118" xfId="0" applyFont="1" applyFill="1" applyBorder="1" applyAlignment="1">
      <alignment horizontal="left" vertical="center" wrapText="1"/>
    </xf>
    <xf numFmtId="0" fontId="33" fillId="2" borderId="141" xfId="0" applyFont="1" applyFill="1" applyBorder="1" applyAlignment="1">
      <alignment horizontal="left" vertical="center" wrapText="1"/>
    </xf>
    <xf numFmtId="0" fontId="33" fillId="2" borderId="65" xfId="0" applyFont="1" applyFill="1" applyBorder="1" applyAlignment="1">
      <alignment horizontal="left" vertical="center" wrapText="1"/>
    </xf>
    <xf numFmtId="0" fontId="33" fillId="2" borderId="109" xfId="0" applyFont="1" applyFill="1" applyBorder="1" applyAlignment="1">
      <alignment vertical="center" wrapText="1"/>
    </xf>
    <xf numFmtId="0" fontId="33" fillId="2" borderId="110" xfId="0" applyFont="1" applyFill="1" applyBorder="1" applyAlignment="1">
      <alignment vertical="center" wrapText="1"/>
    </xf>
    <xf numFmtId="0" fontId="33" fillId="2" borderId="111" xfId="0" applyFont="1" applyFill="1" applyBorder="1" applyAlignment="1">
      <alignment vertical="center" wrapText="1"/>
    </xf>
    <xf numFmtId="0" fontId="33" fillId="2" borderId="84" xfId="0" applyFont="1" applyFill="1" applyBorder="1" applyAlignment="1">
      <alignment horizontal="left" vertical="center" wrapText="1"/>
    </xf>
    <xf numFmtId="0" fontId="33" fillId="2" borderId="0" xfId="0" applyFont="1" applyFill="1" applyAlignment="1">
      <alignment horizontal="left" vertical="center" wrapText="1"/>
    </xf>
    <xf numFmtId="0" fontId="33" fillId="2" borderId="64" xfId="0" applyFont="1" applyFill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5" fillId="0" borderId="69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172" fontId="23" fillId="51" borderId="49" xfId="8" applyNumberFormat="1" applyFont="1" applyFill="1" applyBorder="1" applyAlignment="1">
      <alignment horizontal="center" vertical="center" wrapText="1"/>
    </xf>
    <xf numFmtId="172" fontId="23" fillId="51" borderId="50" xfId="8" applyNumberFormat="1" applyFont="1" applyFill="1" applyBorder="1" applyAlignment="1">
      <alignment horizontal="center" vertical="center" wrapText="1"/>
    </xf>
    <xf numFmtId="172" fontId="23" fillId="51" borderId="128" xfId="8" applyNumberFormat="1" applyFont="1" applyFill="1" applyBorder="1" applyAlignment="1">
      <alignment horizontal="center" vertical="center" wrapText="1"/>
    </xf>
    <xf numFmtId="172" fontId="23" fillId="51" borderId="116" xfId="8" applyNumberFormat="1" applyFont="1" applyFill="1" applyBorder="1" applyAlignment="1">
      <alignment horizontal="center" vertical="center" wrapText="1"/>
    </xf>
    <xf numFmtId="172" fontId="23" fillId="51" borderId="57" xfId="8" applyNumberFormat="1" applyFont="1" applyFill="1" applyBorder="1" applyAlignment="1">
      <alignment horizontal="center" vertical="center" wrapText="1"/>
    </xf>
    <xf numFmtId="172" fontId="23" fillId="51" borderId="114" xfId="8" applyNumberFormat="1" applyFont="1" applyFill="1" applyBorder="1" applyAlignment="1">
      <alignment horizontal="center" vertical="center" wrapText="1"/>
    </xf>
    <xf numFmtId="172" fontId="23" fillId="51" borderId="16" xfId="315" applyNumberFormat="1" applyFont="1" applyFill="1" applyBorder="1" applyAlignment="1">
      <alignment horizontal="center" vertical="center" wrapText="1"/>
    </xf>
    <xf numFmtId="172" fontId="23" fillId="51" borderId="133" xfId="315" applyNumberFormat="1" applyFont="1" applyFill="1" applyBorder="1" applyAlignment="1">
      <alignment horizontal="center" vertical="center" wrapText="1"/>
    </xf>
    <xf numFmtId="172" fontId="23" fillId="51" borderId="49" xfId="315" applyNumberFormat="1" applyFont="1" applyFill="1" applyBorder="1" applyAlignment="1">
      <alignment horizontal="center" vertical="center" wrapText="1"/>
    </xf>
    <xf numFmtId="172" fontId="23" fillId="51" borderId="50" xfId="315" applyNumberFormat="1" applyFont="1" applyFill="1" applyBorder="1" applyAlignment="1">
      <alignment horizontal="center" vertical="center" wrapText="1"/>
    </xf>
    <xf numFmtId="172" fontId="23" fillId="56" borderId="49" xfId="8" applyNumberFormat="1" applyFont="1" applyFill="1" applyBorder="1" applyAlignment="1">
      <alignment horizontal="center" vertical="center" wrapText="1"/>
    </xf>
    <xf numFmtId="172" fontId="23" fillId="56" borderId="50" xfId="8" applyNumberFormat="1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 wrapText="1"/>
    </xf>
    <xf numFmtId="0" fontId="24" fillId="0" borderId="141" xfId="0" applyFont="1" applyBorder="1" applyAlignment="1">
      <alignment horizontal="left" wrapText="1"/>
    </xf>
  </cellXfs>
  <cellStyles count="320">
    <cellStyle name="20% - Accent1" xfId="246" xr:uid="{00000000-0005-0000-0000-000000000000}"/>
    <cellStyle name="20% - Accent2" xfId="247" xr:uid="{00000000-0005-0000-0000-000001000000}"/>
    <cellStyle name="20% - Accent3" xfId="248" xr:uid="{00000000-0005-0000-0000-000002000000}"/>
    <cellStyle name="20% - Accent4" xfId="249" xr:uid="{00000000-0005-0000-0000-000003000000}"/>
    <cellStyle name="20% - Accent5" xfId="250" xr:uid="{00000000-0005-0000-0000-000004000000}"/>
    <cellStyle name="20% - Accent6" xfId="251" xr:uid="{00000000-0005-0000-0000-000005000000}"/>
    <cellStyle name="20% - Énfasis1 10" xfId="12" xr:uid="{00000000-0005-0000-0000-000006000000}"/>
    <cellStyle name="20% - Énfasis1 11" xfId="13" xr:uid="{00000000-0005-0000-0000-000007000000}"/>
    <cellStyle name="20% - Énfasis1 12" xfId="14" xr:uid="{00000000-0005-0000-0000-000008000000}"/>
    <cellStyle name="20% - Énfasis1 13" xfId="15" xr:uid="{00000000-0005-0000-0000-000009000000}"/>
    <cellStyle name="20% - Énfasis1 14" xfId="16" xr:uid="{00000000-0005-0000-0000-00000A000000}"/>
    <cellStyle name="20% - Énfasis1 15" xfId="17" xr:uid="{00000000-0005-0000-0000-00000B000000}"/>
    <cellStyle name="20% - Énfasis1 16" xfId="18" xr:uid="{00000000-0005-0000-0000-00000C000000}"/>
    <cellStyle name="20% - Énfasis1 2" xfId="19" xr:uid="{00000000-0005-0000-0000-00000D000000}"/>
    <cellStyle name="20% - Énfasis1 3" xfId="20" xr:uid="{00000000-0005-0000-0000-00000E000000}"/>
    <cellStyle name="20% - Énfasis1 4" xfId="21" xr:uid="{00000000-0005-0000-0000-00000F000000}"/>
    <cellStyle name="20% - Énfasis1 5" xfId="22" xr:uid="{00000000-0005-0000-0000-000010000000}"/>
    <cellStyle name="20% - Énfasis1 6" xfId="23" xr:uid="{00000000-0005-0000-0000-000011000000}"/>
    <cellStyle name="20% - Énfasis1 7" xfId="24" xr:uid="{00000000-0005-0000-0000-000012000000}"/>
    <cellStyle name="20% - Énfasis1 8" xfId="25" xr:uid="{00000000-0005-0000-0000-000013000000}"/>
    <cellStyle name="20% - Énfasis1 9" xfId="26" xr:uid="{00000000-0005-0000-0000-000014000000}"/>
    <cellStyle name="20% - Énfasis2 10" xfId="27" xr:uid="{00000000-0005-0000-0000-000015000000}"/>
    <cellStyle name="20% - Énfasis2 11" xfId="28" xr:uid="{00000000-0005-0000-0000-000016000000}"/>
    <cellStyle name="20% - Énfasis2 12" xfId="29" xr:uid="{00000000-0005-0000-0000-000017000000}"/>
    <cellStyle name="20% - Énfasis2 13" xfId="30" xr:uid="{00000000-0005-0000-0000-000018000000}"/>
    <cellStyle name="20% - Énfasis2 14" xfId="31" xr:uid="{00000000-0005-0000-0000-000019000000}"/>
    <cellStyle name="20% - Énfasis2 15" xfId="32" xr:uid="{00000000-0005-0000-0000-00001A000000}"/>
    <cellStyle name="20% - Énfasis2 16" xfId="33" xr:uid="{00000000-0005-0000-0000-00001B000000}"/>
    <cellStyle name="20% - Énfasis2 2" xfId="34" xr:uid="{00000000-0005-0000-0000-00001C000000}"/>
    <cellStyle name="20% - Énfasis2 3" xfId="35" xr:uid="{00000000-0005-0000-0000-00001D000000}"/>
    <cellStyle name="20% - Énfasis2 4" xfId="36" xr:uid="{00000000-0005-0000-0000-00001E000000}"/>
    <cellStyle name="20% - Énfasis2 5" xfId="37" xr:uid="{00000000-0005-0000-0000-00001F000000}"/>
    <cellStyle name="20% - Énfasis2 6" xfId="38" xr:uid="{00000000-0005-0000-0000-000020000000}"/>
    <cellStyle name="20% - Énfasis2 7" xfId="39" xr:uid="{00000000-0005-0000-0000-000021000000}"/>
    <cellStyle name="20% - Énfasis2 8" xfId="40" xr:uid="{00000000-0005-0000-0000-000022000000}"/>
    <cellStyle name="20% - Énfasis2 9" xfId="41" xr:uid="{00000000-0005-0000-0000-000023000000}"/>
    <cellStyle name="20% - Énfasis3 10" xfId="42" xr:uid="{00000000-0005-0000-0000-000024000000}"/>
    <cellStyle name="20% - Énfasis3 11" xfId="43" xr:uid="{00000000-0005-0000-0000-000025000000}"/>
    <cellStyle name="20% - Énfasis3 12" xfId="44" xr:uid="{00000000-0005-0000-0000-000026000000}"/>
    <cellStyle name="20% - Énfasis3 13" xfId="45" xr:uid="{00000000-0005-0000-0000-000027000000}"/>
    <cellStyle name="20% - Énfasis3 14" xfId="46" xr:uid="{00000000-0005-0000-0000-000028000000}"/>
    <cellStyle name="20% - Énfasis3 15" xfId="47" xr:uid="{00000000-0005-0000-0000-000029000000}"/>
    <cellStyle name="20% - Énfasis3 16" xfId="48" xr:uid="{00000000-0005-0000-0000-00002A000000}"/>
    <cellStyle name="20% - Énfasis3 2" xfId="49" xr:uid="{00000000-0005-0000-0000-00002B000000}"/>
    <cellStyle name="20% - Énfasis3 3" xfId="50" xr:uid="{00000000-0005-0000-0000-00002C000000}"/>
    <cellStyle name="20% - Énfasis3 4" xfId="51" xr:uid="{00000000-0005-0000-0000-00002D000000}"/>
    <cellStyle name="20% - Énfasis3 5" xfId="52" xr:uid="{00000000-0005-0000-0000-00002E000000}"/>
    <cellStyle name="20% - Énfasis3 6" xfId="53" xr:uid="{00000000-0005-0000-0000-00002F000000}"/>
    <cellStyle name="20% - Énfasis3 7" xfId="54" xr:uid="{00000000-0005-0000-0000-000030000000}"/>
    <cellStyle name="20% - Énfasis3 8" xfId="55" xr:uid="{00000000-0005-0000-0000-000031000000}"/>
    <cellStyle name="20% - Énfasis3 9" xfId="56" xr:uid="{00000000-0005-0000-0000-000032000000}"/>
    <cellStyle name="20% - Énfasis4 10" xfId="57" xr:uid="{00000000-0005-0000-0000-000033000000}"/>
    <cellStyle name="20% - Énfasis4 11" xfId="58" xr:uid="{00000000-0005-0000-0000-000034000000}"/>
    <cellStyle name="20% - Énfasis4 12" xfId="59" xr:uid="{00000000-0005-0000-0000-000035000000}"/>
    <cellStyle name="20% - Énfasis4 13" xfId="60" xr:uid="{00000000-0005-0000-0000-000036000000}"/>
    <cellStyle name="20% - Énfasis4 14" xfId="61" xr:uid="{00000000-0005-0000-0000-000037000000}"/>
    <cellStyle name="20% - Énfasis4 15" xfId="62" xr:uid="{00000000-0005-0000-0000-000038000000}"/>
    <cellStyle name="20% - Énfasis4 16" xfId="63" xr:uid="{00000000-0005-0000-0000-000039000000}"/>
    <cellStyle name="20% - Énfasis4 2" xfId="64" xr:uid="{00000000-0005-0000-0000-00003A000000}"/>
    <cellStyle name="20% - Énfasis4 3" xfId="65" xr:uid="{00000000-0005-0000-0000-00003B000000}"/>
    <cellStyle name="20% - Énfasis4 4" xfId="66" xr:uid="{00000000-0005-0000-0000-00003C000000}"/>
    <cellStyle name="20% - Énfasis4 5" xfId="67" xr:uid="{00000000-0005-0000-0000-00003D000000}"/>
    <cellStyle name="20% - Énfasis4 6" xfId="68" xr:uid="{00000000-0005-0000-0000-00003E000000}"/>
    <cellStyle name="20% - Énfasis4 7" xfId="69" xr:uid="{00000000-0005-0000-0000-00003F000000}"/>
    <cellStyle name="20% - Énfasis4 8" xfId="70" xr:uid="{00000000-0005-0000-0000-000040000000}"/>
    <cellStyle name="20% - Énfasis4 9" xfId="71" xr:uid="{00000000-0005-0000-0000-000041000000}"/>
    <cellStyle name="20% - Énfasis5 10" xfId="72" xr:uid="{00000000-0005-0000-0000-000042000000}"/>
    <cellStyle name="20% - Énfasis5 11" xfId="73" xr:uid="{00000000-0005-0000-0000-000043000000}"/>
    <cellStyle name="20% - Énfasis5 12" xfId="74" xr:uid="{00000000-0005-0000-0000-000044000000}"/>
    <cellStyle name="20% - Énfasis5 13" xfId="75" xr:uid="{00000000-0005-0000-0000-000045000000}"/>
    <cellStyle name="20% - Énfasis5 14" xfId="76" xr:uid="{00000000-0005-0000-0000-000046000000}"/>
    <cellStyle name="20% - Énfasis5 15" xfId="77" xr:uid="{00000000-0005-0000-0000-000047000000}"/>
    <cellStyle name="20% - Énfasis5 16" xfId="78" xr:uid="{00000000-0005-0000-0000-000048000000}"/>
    <cellStyle name="20% - Énfasis5 2" xfId="79" xr:uid="{00000000-0005-0000-0000-000049000000}"/>
    <cellStyle name="20% - Énfasis5 3" xfId="80" xr:uid="{00000000-0005-0000-0000-00004A000000}"/>
    <cellStyle name="20% - Énfasis5 4" xfId="81" xr:uid="{00000000-0005-0000-0000-00004B000000}"/>
    <cellStyle name="20% - Énfasis5 5" xfId="82" xr:uid="{00000000-0005-0000-0000-00004C000000}"/>
    <cellStyle name="20% - Énfasis5 6" xfId="83" xr:uid="{00000000-0005-0000-0000-00004D000000}"/>
    <cellStyle name="20% - Énfasis5 7" xfId="84" xr:uid="{00000000-0005-0000-0000-00004E000000}"/>
    <cellStyle name="20% - Énfasis5 8" xfId="85" xr:uid="{00000000-0005-0000-0000-00004F000000}"/>
    <cellStyle name="20% - Énfasis5 9" xfId="86" xr:uid="{00000000-0005-0000-0000-000050000000}"/>
    <cellStyle name="20% - Énfasis6 10" xfId="87" xr:uid="{00000000-0005-0000-0000-000051000000}"/>
    <cellStyle name="20% - Énfasis6 11" xfId="88" xr:uid="{00000000-0005-0000-0000-000052000000}"/>
    <cellStyle name="20% - Énfasis6 12" xfId="89" xr:uid="{00000000-0005-0000-0000-000053000000}"/>
    <cellStyle name="20% - Énfasis6 13" xfId="90" xr:uid="{00000000-0005-0000-0000-000054000000}"/>
    <cellStyle name="20% - Énfasis6 14" xfId="91" xr:uid="{00000000-0005-0000-0000-000055000000}"/>
    <cellStyle name="20% - Énfasis6 15" xfId="92" xr:uid="{00000000-0005-0000-0000-000056000000}"/>
    <cellStyle name="20% - Énfasis6 16" xfId="93" xr:uid="{00000000-0005-0000-0000-000057000000}"/>
    <cellStyle name="20% - Énfasis6 2" xfId="94" xr:uid="{00000000-0005-0000-0000-000058000000}"/>
    <cellStyle name="20% - Énfasis6 3" xfId="95" xr:uid="{00000000-0005-0000-0000-000059000000}"/>
    <cellStyle name="20% - Énfasis6 4" xfId="96" xr:uid="{00000000-0005-0000-0000-00005A000000}"/>
    <cellStyle name="20% - Énfasis6 5" xfId="97" xr:uid="{00000000-0005-0000-0000-00005B000000}"/>
    <cellStyle name="20% - Énfasis6 6" xfId="98" xr:uid="{00000000-0005-0000-0000-00005C000000}"/>
    <cellStyle name="20% - Énfasis6 7" xfId="99" xr:uid="{00000000-0005-0000-0000-00005D000000}"/>
    <cellStyle name="20% - Énfasis6 8" xfId="100" xr:uid="{00000000-0005-0000-0000-00005E000000}"/>
    <cellStyle name="20% - Énfasis6 9" xfId="101" xr:uid="{00000000-0005-0000-0000-00005F000000}"/>
    <cellStyle name="40% - Accent1" xfId="252" xr:uid="{00000000-0005-0000-0000-000060000000}"/>
    <cellStyle name="40% - Accent2" xfId="253" xr:uid="{00000000-0005-0000-0000-000061000000}"/>
    <cellStyle name="40% - Accent3" xfId="254" xr:uid="{00000000-0005-0000-0000-000062000000}"/>
    <cellStyle name="40% - Accent4" xfId="255" xr:uid="{00000000-0005-0000-0000-000063000000}"/>
    <cellStyle name="40% - Accent5" xfId="256" xr:uid="{00000000-0005-0000-0000-000064000000}"/>
    <cellStyle name="40% - Accent6" xfId="257" xr:uid="{00000000-0005-0000-0000-000065000000}"/>
    <cellStyle name="40% - Énfasis1 10" xfId="102" xr:uid="{00000000-0005-0000-0000-000066000000}"/>
    <cellStyle name="40% - Énfasis1 11" xfId="103" xr:uid="{00000000-0005-0000-0000-000067000000}"/>
    <cellStyle name="40% - Énfasis1 12" xfId="104" xr:uid="{00000000-0005-0000-0000-000068000000}"/>
    <cellStyle name="40% - Énfasis1 13" xfId="105" xr:uid="{00000000-0005-0000-0000-000069000000}"/>
    <cellStyle name="40% - Énfasis1 14" xfId="106" xr:uid="{00000000-0005-0000-0000-00006A000000}"/>
    <cellStyle name="40% - Énfasis1 15" xfId="107" xr:uid="{00000000-0005-0000-0000-00006B000000}"/>
    <cellStyle name="40% - Énfasis1 16" xfId="108" xr:uid="{00000000-0005-0000-0000-00006C000000}"/>
    <cellStyle name="40% - Énfasis1 2" xfId="109" xr:uid="{00000000-0005-0000-0000-00006D000000}"/>
    <cellStyle name="40% - Énfasis1 3" xfId="110" xr:uid="{00000000-0005-0000-0000-00006E000000}"/>
    <cellStyle name="40% - Énfasis1 4" xfId="111" xr:uid="{00000000-0005-0000-0000-00006F000000}"/>
    <cellStyle name="40% - Énfasis1 5" xfId="112" xr:uid="{00000000-0005-0000-0000-000070000000}"/>
    <cellStyle name="40% - Énfasis1 6" xfId="113" xr:uid="{00000000-0005-0000-0000-000071000000}"/>
    <cellStyle name="40% - Énfasis1 7" xfId="114" xr:uid="{00000000-0005-0000-0000-000072000000}"/>
    <cellStyle name="40% - Énfasis1 8" xfId="115" xr:uid="{00000000-0005-0000-0000-000073000000}"/>
    <cellStyle name="40% - Énfasis1 9" xfId="116" xr:uid="{00000000-0005-0000-0000-000074000000}"/>
    <cellStyle name="40% - Énfasis2 10" xfId="117" xr:uid="{00000000-0005-0000-0000-000075000000}"/>
    <cellStyle name="40% - Énfasis2 11" xfId="118" xr:uid="{00000000-0005-0000-0000-000076000000}"/>
    <cellStyle name="40% - Énfasis2 12" xfId="119" xr:uid="{00000000-0005-0000-0000-000077000000}"/>
    <cellStyle name="40% - Énfasis2 13" xfId="120" xr:uid="{00000000-0005-0000-0000-000078000000}"/>
    <cellStyle name="40% - Énfasis2 14" xfId="121" xr:uid="{00000000-0005-0000-0000-000079000000}"/>
    <cellStyle name="40% - Énfasis2 15" xfId="122" xr:uid="{00000000-0005-0000-0000-00007A000000}"/>
    <cellStyle name="40% - Énfasis2 16" xfId="123" xr:uid="{00000000-0005-0000-0000-00007B000000}"/>
    <cellStyle name="40% - Énfasis2 2" xfId="124" xr:uid="{00000000-0005-0000-0000-00007C000000}"/>
    <cellStyle name="40% - Énfasis2 3" xfId="125" xr:uid="{00000000-0005-0000-0000-00007D000000}"/>
    <cellStyle name="40% - Énfasis2 4" xfId="126" xr:uid="{00000000-0005-0000-0000-00007E000000}"/>
    <cellStyle name="40% - Énfasis2 5" xfId="127" xr:uid="{00000000-0005-0000-0000-00007F000000}"/>
    <cellStyle name="40% - Énfasis2 6" xfId="128" xr:uid="{00000000-0005-0000-0000-000080000000}"/>
    <cellStyle name="40% - Énfasis2 7" xfId="129" xr:uid="{00000000-0005-0000-0000-000081000000}"/>
    <cellStyle name="40% - Énfasis2 8" xfId="130" xr:uid="{00000000-0005-0000-0000-000082000000}"/>
    <cellStyle name="40% - Énfasis2 9" xfId="131" xr:uid="{00000000-0005-0000-0000-000083000000}"/>
    <cellStyle name="40% - Énfasis3 10" xfId="132" xr:uid="{00000000-0005-0000-0000-000084000000}"/>
    <cellStyle name="40% - Énfasis3 11" xfId="133" xr:uid="{00000000-0005-0000-0000-000085000000}"/>
    <cellStyle name="40% - Énfasis3 12" xfId="134" xr:uid="{00000000-0005-0000-0000-000086000000}"/>
    <cellStyle name="40% - Énfasis3 13" xfId="135" xr:uid="{00000000-0005-0000-0000-000087000000}"/>
    <cellStyle name="40% - Énfasis3 14" xfId="136" xr:uid="{00000000-0005-0000-0000-000088000000}"/>
    <cellStyle name="40% - Énfasis3 15" xfId="137" xr:uid="{00000000-0005-0000-0000-000089000000}"/>
    <cellStyle name="40% - Énfasis3 16" xfId="138" xr:uid="{00000000-0005-0000-0000-00008A000000}"/>
    <cellStyle name="40% - Énfasis3 2" xfId="139" xr:uid="{00000000-0005-0000-0000-00008B000000}"/>
    <cellStyle name="40% - Énfasis3 3" xfId="140" xr:uid="{00000000-0005-0000-0000-00008C000000}"/>
    <cellStyle name="40% - Énfasis3 4" xfId="141" xr:uid="{00000000-0005-0000-0000-00008D000000}"/>
    <cellStyle name="40% - Énfasis3 5" xfId="142" xr:uid="{00000000-0005-0000-0000-00008E000000}"/>
    <cellStyle name="40% - Énfasis3 6" xfId="143" xr:uid="{00000000-0005-0000-0000-00008F000000}"/>
    <cellStyle name="40% - Énfasis3 7" xfId="144" xr:uid="{00000000-0005-0000-0000-000090000000}"/>
    <cellStyle name="40% - Énfasis3 8" xfId="145" xr:uid="{00000000-0005-0000-0000-000091000000}"/>
    <cellStyle name="40% - Énfasis3 9" xfId="146" xr:uid="{00000000-0005-0000-0000-000092000000}"/>
    <cellStyle name="40% - Énfasis4 10" xfId="147" xr:uid="{00000000-0005-0000-0000-000093000000}"/>
    <cellStyle name="40% - Énfasis4 11" xfId="148" xr:uid="{00000000-0005-0000-0000-000094000000}"/>
    <cellStyle name="40% - Énfasis4 12" xfId="149" xr:uid="{00000000-0005-0000-0000-000095000000}"/>
    <cellStyle name="40% - Énfasis4 13" xfId="150" xr:uid="{00000000-0005-0000-0000-000096000000}"/>
    <cellStyle name="40% - Énfasis4 14" xfId="151" xr:uid="{00000000-0005-0000-0000-000097000000}"/>
    <cellStyle name="40% - Énfasis4 15" xfId="152" xr:uid="{00000000-0005-0000-0000-000098000000}"/>
    <cellStyle name="40% - Énfasis4 16" xfId="153" xr:uid="{00000000-0005-0000-0000-000099000000}"/>
    <cellStyle name="40% - Énfasis4 2" xfId="154" xr:uid="{00000000-0005-0000-0000-00009A000000}"/>
    <cellStyle name="40% - Énfasis4 3" xfId="155" xr:uid="{00000000-0005-0000-0000-00009B000000}"/>
    <cellStyle name="40% - Énfasis4 4" xfId="156" xr:uid="{00000000-0005-0000-0000-00009C000000}"/>
    <cellStyle name="40% - Énfasis4 5" xfId="157" xr:uid="{00000000-0005-0000-0000-00009D000000}"/>
    <cellStyle name="40% - Énfasis4 6" xfId="158" xr:uid="{00000000-0005-0000-0000-00009E000000}"/>
    <cellStyle name="40% - Énfasis4 7" xfId="159" xr:uid="{00000000-0005-0000-0000-00009F000000}"/>
    <cellStyle name="40% - Énfasis4 8" xfId="160" xr:uid="{00000000-0005-0000-0000-0000A0000000}"/>
    <cellStyle name="40% - Énfasis4 9" xfId="161" xr:uid="{00000000-0005-0000-0000-0000A1000000}"/>
    <cellStyle name="40% - Énfasis5 10" xfId="162" xr:uid="{00000000-0005-0000-0000-0000A2000000}"/>
    <cellStyle name="40% - Énfasis5 11" xfId="163" xr:uid="{00000000-0005-0000-0000-0000A3000000}"/>
    <cellStyle name="40% - Énfasis5 12" xfId="164" xr:uid="{00000000-0005-0000-0000-0000A4000000}"/>
    <cellStyle name="40% - Énfasis5 13" xfId="165" xr:uid="{00000000-0005-0000-0000-0000A5000000}"/>
    <cellStyle name="40% - Énfasis5 14" xfId="166" xr:uid="{00000000-0005-0000-0000-0000A6000000}"/>
    <cellStyle name="40% - Énfasis5 15" xfId="167" xr:uid="{00000000-0005-0000-0000-0000A7000000}"/>
    <cellStyle name="40% - Énfasis5 16" xfId="168" xr:uid="{00000000-0005-0000-0000-0000A8000000}"/>
    <cellStyle name="40% - Énfasis5 2" xfId="169" xr:uid="{00000000-0005-0000-0000-0000A9000000}"/>
    <cellStyle name="40% - Énfasis5 3" xfId="170" xr:uid="{00000000-0005-0000-0000-0000AA000000}"/>
    <cellStyle name="40% - Énfasis5 4" xfId="171" xr:uid="{00000000-0005-0000-0000-0000AB000000}"/>
    <cellStyle name="40% - Énfasis5 5" xfId="172" xr:uid="{00000000-0005-0000-0000-0000AC000000}"/>
    <cellStyle name="40% - Énfasis5 6" xfId="173" xr:uid="{00000000-0005-0000-0000-0000AD000000}"/>
    <cellStyle name="40% - Énfasis5 7" xfId="174" xr:uid="{00000000-0005-0000-0000-0000AE000000}"/>
    <cellStyle name="40% - Énfasis5 8" xfId="175" xr:uid="{00000000-0005-0000-0000-0000AF000000}"/>
    <cellStyle name="40% - Énfasis5 9" xfId="176" xr:uid="{00000000-0005-0000-0000-0000B0000000}"/>
    <cellStyle name="40% - Énfasis6 10" xfId="177" xr:uid="{00000000-0005-0000-0000-0000B1000000}"/>
    <cellStyle name="40% - Énfasis6 11" xfId="178" xr:uid="{00000000-0005-0000-0000-0000B2000000}"/>
    <cellStyle name="40% - Énfasis6 12" xfId="179" xr:uid="{00000000-0005-0000-0000-0000B3000000}"/>
    <cellStyle name="40% - Énfasis6 13" xfId="180" xr:uid="{00000000-0005-0000-0000-0000B4000000}"/>
    <cellStyle name="40% - Énfasis6 14" xfId="181" xr:uid="{00000000-0005-0000-0000-0000B5000000}"/>
    <cellStyle name="40% - Énfasis6 15" xfId="182" xr:uid="{00000000-0005-0000-0000-0000B6000000}"/>
    <cellStyle name="40% - Énfasis6 16" xfId="183" xr:uid="{00000000-0005-0000-0000-0000B7000000}"/>
    <cellStyle name="40% - Énfasis6 2" xfId="184" xr:uid="{00000000-0005-0000-0000-0000B8000000}"/>
    <cellStyle name="40% - Énfasis6 3" xfId="185" xr:uid="{00000000-0005-0000-0000-0000B9000000}"/>
    <cellStyle name="40% - Énfasis6 4" xfId="186" xr:uid="{00000000-0005-0000-0000-0000BA000000}"/>
    <cellStyle name="40% - Énfasis6 5" xfId="187" xr:uid="{00000000-0005-0000-0000-0000BB000000}"/>
    <cellStyle name="40% - Énfasis6 6" xfId="188" xr:uid="{00000000-0005-0000-0000-0000BC000000}"/>
    <cellStyle name="40% - Énfasis6 7" xfId="189" xr:uid="{00000000-0005-0000-0000-0000BD000000}"/>
    <cellStyle name="40% - Énfasis6 8" xfId="190" xr:uid="{00000000-0005-0000-0000-0000BE000000}"/>
    <cellStyle name="40% - Énfasis6 9" xfId="191" xr:uid="{00000000-0005-0000-0000-0000BF000000}"/>
    <cellStyle name="60% - Accent1" xfId="258" xr:uid="{00000000-0005-0000-0000-0000C0000000}"/>
    <cellStyle name="60% - Accent2" xfId="259" xr:uid="{00000000-0005-0000-0000-0000C1000000}"/>
    <cellStyle name="60% - Accent3" xfId="260" xr:uid="{00000000-0005-0000-0000-0000C2000000}"/>
    <cellStyle name="60% - Accent4" xfId="261" xr:uid="{00000000-0005-0000-0000-0000C3000000}"/>
    <cellStyle name="60% - Accent5" xfId="262" xr:uid="{00000000-0005-0000-0000-0000C4000000}"/>
    <cellStyle name="60% - Accent6" xfId="263" xr:uid="{00000000-0005-0000-0000-0000C5000000}"/>
    <cellStyle name="Accent1" xfId="264" xr:uid="{00000000-0005-0000-0000-0000C6000000}"/>
    <cellStyle name="Accent1 - 20%" xfId="265" xr:uid="{00000000-0005-0000-0000-0000C7000000}"/>
    <cellStyle name="Accent1 - 40%" xfId="266" xr:uid="{00000000-0005-0000-0000-0000C8000000}"/>
    <cellStyle name="Accent1 - 60%" xfId="267" xr:uid="{00000000-0005-0000-0000-0000C9000000}"/>
    <cellStyle name="Accent2" xfId="268" xr:uid="{00000000-0005-0000-0000-0000CA000000}"/>
    <cellStyle name="Accent2 - 20%" xfId="269" xr:uid="{00000000-0005-0000-0000-0000CB000000}"/>
    <cellStyle name="Accent2 - 40%" xfId="270" xr:uid="{00000000-0005-0000-0000-0000CC000000}"/>
    <cellStyle name="Accent2 - 60%" xfId="271" xr:uid="{00000000-0005-0000-0000-0000CD000000}"/>
    <cellStyle name="Accent3" xfId="272" xr:uid="{00000000-0005-0000-0000-0000CE000000}"/>
    <cellStyle name="Accent3 - 20%" xfId="273" xr:uid="{00000000-0005-0000-0000-0000CF000000}"/>
    <cellStyle name="Accent3 - 40%" xfId="274" xr:uid="{00000000-0005-0000-0000-0000D0000000}"/>
    <cellStyle name="Accent3 - 60%" xfId="275" xr:uid="{00000000-0005-0000-0000-0000D1000000}"/>
    <cellStyle name="Accent4" xfId="276" xr:uid="{00000000-0005-0000-0000-0000D2000000}"/>
    <cellStyle name="Accent4 - 20%" xfId="277" xr:uid="{00000000-0005-0000-0000-0000D3000000}"/>
    <cellStyle name="Accent4 - 40%" xfId="278" xr:uid="{00000000-0005-0000-0000-0000D4000000}"/>
    <cellStyle name="Accent4 - 60%" xfId="279" xr:uid="{00000000-0005-0000-0000-0000D5000000}"/>
    <cellStyle name="Accent5" xfId="280" xr:uid="{00000000-0005-0000-0000-0000D6000000}"/>
    <cellStyle name="Accent5 - 20%" xfId="281" xr:uid="{00000000-0005-0000-0000-0000D7000000}"/>
    <cellStyle name="Accent5 - 40%" xfId="282" xr:uid="{00000000-0005-0000-0000-0000D8000000}"/>
    <cellStyle name="Accent5 - 60%" xfId="283" xr:uid="{00000000-0005-0000-0000-0000D9000000}"/>
    <cellStyle name="Accent6" xfId="284" xr:uid="{00000000-0005-0000-0000-0000DA000000}"/>
    <cellStyle name="Accent6 - 20%" xfId="285" xr:uid="{00000000-0005-0000-0000-0000DB000000}"/>
    <cellStyle name="Accent6 - 40%" xfId="286" xr:uid="{00000000-0005-0000-0000-0000DC000000}"/>
    <cellStyle name="Accent6 - 60%" xfId="287" xr:uid="{00000000-0005-0000-0000-0000DD000000}"/>
    <cellStyle name="Bad" xfId="288" xr:uid="{00000000-0005-0000-0000-0000DE000000}"/>
    <cellStyle name="Calculation" xfId="289" xr:uid="{00000000-0005-0000-0000-0000DF000000}"/>
    <cellStyle name="Check Cell" xfId="290" xr:uid="{00000000-0005-0000-0000-0000E0000000}"/>
    <cellStyle name="Emphasis 1" xfId="291" xr:uid="{00000000-0005-0000-0000-0000E1000000}"/>
    <cellStyle name="Emphasis 2" xfId="292" xr:uid="{00000000-0005-0000-0000-0000E2000000}"/>
    <cellStyle name="Emphasis 3" xfId="293" xr:uid="{00000000-0005-0000-0000-0000E3000000}"/>
    <cellStyle name="Euro" xfId="192" xr:uid="{00000000-0005-0000-0000-0000E4000000}"/>
    <cellStyle name="Explanatory Text" xfId="294" xr:uid="{00000000-0005-0000-0000-0000E5000000}"/>
    <cellStyle name="Good" xfId="295" xr:uid="{00000000-0005-0000-0000-0000E6000000}"/>
    <cellStyle name="Heading 1" xfId="296" xr:uid="{00000000-0005-0000-0000-0000E7000000}"/>
    <cellStyle name="Heading 2" xfId="297" xr:uid="{00000000-0005-0000-0000-0000E8000000}"/>
    <cellStyle name="Heading 3" xfId="298" xr:uid="{00000000-0005-0000-0000-0000E9000000}"/>
    <cellStyle name="Heading 4" xfId="299" xr:uid="{00000000-0005-0000-0000-0000EA000000}"/>
    <cellStyle name="Hipervínculo visitado1" xfId="193" xr:uid="{00000000-0005-0000-0000-0000EB000000}"/>
    <cellStyle name="Hipervínculo1" xfId="194" xr:uid="{00000000-0005-0000-0000-0000EC000000}"/>
    <cellStyle name="Input" xfId="300" xr:uid="{00000000-0005-0000-0000-0000ED000000}"/>
    <cellStyle name="Linked Cell" xfId="301" xr:uid="{00000000-0005-0000-0000-0000EE000000}"/>
    <cellStyle name="Millares" xfId="8" builtinId="3"/>
    <cellStyle name="Millares [0]" xfId="1" builtinId="6"/>
    <cellStyle name="Millares [0] 2" xfId="2" xr:uid="{00000000-0005-0000-0000-0000F1000000}"/>
    <cellStyle name="Millares [0] 3" xfId="195" xr:uid="{00000000-0005-0000-0000-0000F2000000}"/>
    <cellStyle name="Millares [0] 3 2" xfId="302" xr:uid="{00000000-0005-0000-0000-0000F3000000}"/>
    <cellStyle name="Millares [0] 4" xfId="196" xr:uid="{00000000-0005-0000-0000-0000F4000000}"/>
    <cellStyle name="Millares [0] 5" xfId="197" xr:uid="{00000000-0005-0000-0000-0000F5000000}"/>
    <cellStyle name="Millares [0] 6" xfId="242" xr:uid="{00000000-0005-0000-0000-0000F6000000}"/>
    <cellStyle name="Millares 2" xfId="198" xr:uid="{00000000-0005-0000-0000-0000F7000000}"/>
    <cellStyle name="Millares 2 2" xfId="303" xr:uid="{00000000-0005-0000-0000-0000F8000000}"/>
    <cellStyle name="Millares 3" xfId="199" xr:uid="{00000000-0005-0000-0000-0000F9000000}"/>
    <cellStyle name="Millares 3 2" xfId="11" xr:uid="{00000000-0005-0000-0000-0000FA000000}"/>
    <cellStyle name="Millares 4" xfId="240" xr:uid="{00000000-0005-0000-0000-0000FB000000}"/>
    <cellStyle name="Millares 5" xfId="244" xr:uid="{00000000-0005-0000-0000-0000FC000000}"/>
    <cellStyle name="Millares 6" xfId="315" xr:uid="{AB5587E0-F610-4800-81B8-592E01C9853C}"/>
    <cellStyle name="Millares 6 2" xfId="318" xr:uid="{BB1B3749-E858-418E-BCDC-3B6D9D54F152}"/>
    <cellStyle name="Normal" xfId="0" builtinId="0"/>
    <cellStyle name="Normal 10" xfId="200" xr:uid="{00000000-0005-0000-0000-0000FE000000}"/>
    <cellStyle name="Normal 11" xfId="201" xr:uid="{00000000-0005-0000-0000-0000FF000000}"/>
    <cellStyle name="Normal 12" xfId="202" xr:uid="{00000000-0005-0000-0000-000000010000}"/>
    <cellStyle name="Normal 13" xfId="203" xr:uid="{00000000-0005-0000-0000-000001010000}"/>
    <cellStyle name="Normal 14" xfId="204" xr:uid="{00000000-0005-0000-0000-000002010000}"/>
    <cellStyle name="Normal 15" xfId="205" xr:uid="{00000000-0005-0000-0000-000003010000}"/>
    <cellStyle name="Normal 16" xfId="206" xr:uid="{00000000-0005-0000-0000-000004010000}"/>
    <cellStyle name="Normal 17" xfId="207" xr:uid="{00000000-0005-0000-0000-000005010000}"/>
    <cellStyle name="Normal 18" xfId="208" xr:uid="{00000000-0005-0000-0000-000006010000}"/>
    <cellStyle name="Normal 19" xfId="209" xr:uid="{00000000-0005-0000-0000-000007010000}"/>
    <cellStyle name="Normal 2" xfId="5" xr:uid="{00000000-0005-0000-0000-000008010000}"/>
    <cellStyle name="Normal 2 2" xfId="210" xr:uid="{00000000-0005-0000-0000-000009010000}"/>
    <cellStyle name="Normal 2 3" xfId="243" xr:uid="{00000000-0005-0000-0000-00000A010000}"/>
    <cellStyle name="Normal 20" xfId="211" xr:uid="{00000000-0005-0000-0000-00000B010000}"/>
    <cellStyle name="Normal 21" xfId="9" xr:uid="{00000000-0005-0000-0000-00000C010000}"/>
    <cellStyle name="Normal 21 2" xfId="311" xr:uid="{00000000-0005-0000-0000-00000D010000}"/>
    <cellStyle name="Normal 21 3" xfId="313" xr:uid="{00000000-0005-0000-0000-00000E010000}"/>
    <cellStyle name="Normal 21 3 2" xfId="319" xr:uid="{9E142B36-FC0F-44B4-85D0-A1FC7050A74A}"/>
    <cellStyle name="Normal 22" xfId="239" xr:uid="{00000000-0005-0000-0000-00000F010000}"/>
    <cellStyle name="Normal 23" xfId="312" xr:uid="{00000000-0005-0000-0000-000010010000}"/>
    <cellStyle name="Normal 3" xfId="6" xr:uid="{00000000-0005-0000-0000-000011010000}"/>
    <cellStyle name="Normal 3 2" xfId="7" xr:uid="{00000000-0005-0000-0000-000012010000}"/>
    <cellStyle name="Normal 3 3" xfId="212" xr:uid="{00000000-0005-0000-0000-000013010000}"/>
    <cellStyle name="Normal 3 4" xfId="316" xr:uid="{AD2A883D-8CA3-475F-B1E4-4581732C0D45}"/>
    <cellStyle name="Normal 3 4 2" xfId="317" xr:uid="{21156E3A-771B-475E-A442-A9426CFC85CD}"/>
    <cellStyle name="Normal 4" xfId="213" xr:uid="{00000000-0005-0000-0000-000014010000}"/>
    <cellStyle name="Normal 4 2" xfId="304" xr:uid="{00000000-0005-0000-0000-000015010000}"/>
    <cellStyle name="Normal 5" xfId="214" xr:uid="{00000000-0005-0000-0000-000016010000}"/>
    <cellStyle name="Normal 6" xfId="215" xr:uid="{00000000-0005-0000-0000-000017010000}"/>
    <cellStyle name="Normal 7" xfId="216" xr:uid="{00000000-0005-0000-0000-000018010000}"/>
    <cellStyle name="Normal 8" xfId="217" xr:uid="{00000000-0005-0000-0000-000019010000}"/>
    <cellStyle name="Normal 9" xfId="218" xr:uid="{00000000-0005-0000-0000-00001A010000}"/>
    <cellStyle name="Notas 10" xfId="219" xr:uid="{00000000-0005-0000-0000-00001D010000}"/>
    <cellStyle name="Notas 11" xfId="220" xr:uid="{00000000-0005-0000-0000-00001E010000}"/>
    <cellStyle name="Notas 12" xfId="221" xr:uid="{00000000-0005-0000-0000-00001F010000}"/>
    <cellStyle name="Notas 13" xfId="222" xr:uid="{00000000-0005-0000-0000-000020010000}"/>
    <cellStyle name="Notas 14" xfId="223" xr:uid="{00000000-0005-0000-0000-000021010000}"/>
    <cellStyle name="Notas 15" xfId="224" xr:uid="{00000000-0005-0000-0000-000022010000}"/>
    <cellStyle name="Notas 16" xfId="225" xr:uid="{00000000-0005-0000-0000-000023010000}"/>
    <cellStyle name="Notas 17" xfId="226" xr:uid="{00000000-0005-0000-0000-000024010000}"/>
    <cellStyle name="Notas 18" xfId="227" xr:uid="{00000000-0005-0000-0000-000025010000}"/>
    <cellStyle name="Notas 19" xfId="228" xr:uid="{00000000-0005-0000-0000-000026010000}"/>
    <cellStyle name="Notas 2" xfId="229" xr:uid="{00000000-0005-0000-0000-000027010000}"/>
    <cellStyle name="Notas 3" xfId="230" xr:uid="{00000000-0005-0000-0000-000028010000}"/>
    <cellStyle name="Notas 4" xfId="231" xr:uid="{00000000-0005-0000-0000-000029010000}"/>
    <cellStyle name="Notas 5" xfId="232" xr:uid="{00000000-0005-0000-0000-00002A010000}"/>
    <cellStyle name="Notas 6" xfId="233" xr:uid="{00000000-0005-0000-0000-00002B010000}"/>
    <cellStyle name="Notas 7" xfId="234" xr:uid="{00000000-0005-0000-0000-00002C010000}"/>
    <cellStyle name="Notas 8" xfId="235" xr:uid="{00000000-0005-0000-0000-00002D010000}"/>
    <cellStyle name="Notas 9" xfId="236" xr:uid="{00000000-0005-0000-0000-00002E010000}"/>
    <cellStyle name="Note" xfId="305" xr:uid="{00000000-0005-0000-0000-00002F010000}"/>
    <cellStyle name="Output" xfId="306" xr:uid="{00000000-0005-0000-0000-000030010000}"/>
    <cellStyle name="Porcentaje" xfId="3" builtinId="5"/>
    <cellStyle name="Porcentaje 2" xfId="10" xr:uid="{00000000-0005-0000-0000-000032010000}"/>
    <cellStyle name="Porcentaje 2 2" xfId="314" xr:uid="{00000000-0005-0000-0000-000033010000}"/>
    <cellStyle name="Porcentaje 3" xfId="241" xr:uid="{00000000-0005-0000-0000-000034010000}"/>
    <cellStyle name="Porcentaje 4" xfId="245" xr:uid="{00000000-0005-0000-0000-000035010000}"/>
    <cellStyle name="Porcentual 2" xfId="4" xr:uid="{00000000-0005-0000-0000-000036010000}"/>
    <cellStyle name="Porcentual 2 2" xfId="307" xr:uid="{00000000-0005-0000-0000-000037010000}"/>
    <cellStyle name="Porcentual 3" xfId="237" xr:uid="{00000000-0005-0000-0000-000038010000}"/>
    <cellStyle name="Porcentual 4" xfId="238" xr:uid="{00000000-0005-0000-0000-000039010000}"/>
    <cellStyle name="Sheet Title" xfId="308" xr:uid="{00000000-0005-0000-0000-00003A010000}"/>
    <cellStyle name="Title" xfId="309" xr:uid="{00000000-0005-0000-0000-00003B010000}"/>
    <cellStyle name="Warning Text" xfId="310" xr:uid="{00000000-0005-0000-0000-00003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08080"/>
      <color rgb="FF7F7F7F"/>
      <color rgb="FFFFFFCC"/>
      <color rgb="FFFFFF99"/>
      <color rgb="FFFF6D22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transporte'!$B$39:$G$39</c:f>
              <c:numCache>
                <c:formatCode>_-* #,##0.0\ _P_t_a_-;\-* #,##0.0\ _P_t_a_-;_-* "-"??\ _P_t_a_-;_-@_-</c:formatCode>
                <c:ptCount val="6"/>
                <c:pt idx="0">
                  <c:v>499.94084363482608</c:v>
                </c:pt>
                <c:pt idx="1">
                  <c:v>253.13952545907509</c:v>
                </c:pt>
                <c:pt idx="2">
                  <c:v>77.129025603178945</c:v>
                </c:pt>
                <c:pt idx="3">
                  <c:v>41.638817651549147</c:v>
                </c:pt>
                <c:pt idx="4">
                  <c:v>0.76977070691355975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C-4D26-926E-A9BAE804F798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transporte'!$B$40:$G$40</c:f>
              <c:numCache>
                <c:formatCode>_-* #,##0.0\ _P_t_a_-;\-* #,##0.0\ _P_t_a_-;_-* "-"??\ _P_t_a_-;_-@_-</c:formatCode>
                <c:ptCount val="6"/>
                <c:pt idx="0">
                  <c:v>861.55941082353309</c:v>
                </c:pt>
                <c:pt idx="1">
                  <c:v>447.06659219599959</c:v>
                </c:pt>
                <c:pt idx="2">
                  <c:v>153.55877758793534</c:v>
                </c:pt>
                <c:pt idx="3">
                  <c:v>97.428466364535865</c:v>
                </c:pt>
                <c:pt idx="4">
                  <c:v>2.2157879411972261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C-4D26-926E-A9BAE804F798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transporte'!$B$41:$G$41</c:f>
              <c:numCache>
                <c:formatCode>_-* #,##0.0\ _P_t_a_-;\-* #,##0.0\ _P_t_a_-;_-* "-"??\ _P_t_a_-;_-@_-</c:formatCode>
                <c:ptCount val="6"/>
                <c:pt idx="0">
                  <c:v>791.02950845961186</c:v>
                </c:pt>
                <c:pt idx="1">
                  <c:v>417.27846041252872</c:v>
                </c:pt>
                <c:pt idx="2">
                  <c:v>120.4442242759383</c:v>
                </c:pt>
                <c:pt idx="3">
                  <c:v>68.692210553847218</c:v>
                </c:pt>
                <c:pt idx="4">
                  <c:v>1.8681388156328615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6C-4D26-926E-A9BAE804F798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transporte'!$B$42:$G$42</c:f>
              <c:numCache>
                <c:formatCode>_-* #,##0.0\ _P_t_a_-;\-* #,##0.0\ _P_t_a_-;_-* "-"??\ _P_t_a_-;_-@_-</c:formatCode>
                <c:ptCount val="6"/>
                <c:pt idx="0">
                  <c:v>572.29182549569543</c:v>
                </c:pt>
                <c:pt idx="1">
                  <c:v>329.53739902391555</c:v>
                </c:pt>
                <c:pt idx="2">
                  <c:v>110.41151094250577</c:v>
                </c:pt>
                <c:pt idx="3">
                  <c:v>66.966146483782595</c:v>
                </c:pt>
                <c:pt idx="4">
                  <c:v>1.5830650798009416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6C-4D26-926E-A9BAE804F798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transporte'!$B$43:$G$43</c:f>
              <c:numCache>
                <c:formatCode>_-* #,##0.0\ _P_t_a_-;\-* #,##0.0\ _P_t_a_-;_-* "-"??\ _P_t_a_-;_-@_-</c:formatCode>
                <c:ptCount val="6"/>
                <c:pt idx="0">
                  <c:v>499.99444864744123</c:v>
                </c:pt>
                <c:pt idx="1">
                  <c:v>298.92320326664156</c:v>
                </c:pt>
                <c:pt idx="2">
                  <c:v>72.59295924398134</c:v>
                </c:pt>
                <c:pt idx="3">
                  <c:v>50.459201714779667</c:v>
                </c:pt>
                <c:pt idx="4">
                  <c:v>1.5006471387746125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C-4D26-926E-A9BAE804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transporte'!$I$39:$N$39</c:f>
              <c:numCache>
                <c:formatCode>_-* #,##0.0\ _P_t_a_-;\-* #,##0.0\ _P_t_a_-;_-* "-"??\ _P_t_a_-;_-@_-</c:formatCode>
                <c:ptCount val="6"/>
                <c:pt idx="0">
                  <c:v>2266.1823804736805</c:v>
                </c:pt>
                <c:pt idx="1">
                  <c:v>960.64140696846141</c:v>
                </c:pt>
                <c:pt idx="2">
                  <c:v>324.65924248020752</c:v>
                </c:pt>
                <c:pt idx="3">
                  <c:v>167.79617996506528</c:v>
                </c:pt>
                <c:pt idx="4">
                  <c:v>8.7310464159080006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A8F-B0D9-F9BC83134835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transporte'!$I$40:$N$40</c:f>
              <c:numCache>
                <c:formatCode>_-* #,##0.0\ _P_t_a_-;\-* #,##0.0\ _P_t_a_-;_-* "-"??\ _P_t_a_-;_-@_-</c:formatCode>
                <c:ptCount val="6"/>
                <c:pt idx="0">
                  <c:v>2290.5451160396069</c:v>
                </c:pt>
                <c:pt idx="1">
                  <c:v>984.80652674242867</c:v>
                </c:pt>
                <c:pt idx="2">
                  <c:v>349.33960826358157</c:v>
                </c:pt>
                <c:pt idx="3">
                  <c:v>182.28465185033227</c:v>
                </c:pt>
                <c:pt idx="4">
                  <c:v>9.5158053525970683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A8F-B0D9-F9BC83134835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transporte'!$I$41:$N$41</c:f>
              <c:numCache>
                <c:formatCode>_-* #,##0.0\ _P_t_a_-;\-* #,##0.0\ _P_t_a_-;_-* "-"??\ _P_t_a_-;_-@_-</c:formatCode>
                <c:ptCount val="6"/>
                <c:pt idx="0">
                  <c:v>2350.5678068666471</c:v>
                </c:pt>
                <c:pt idx="1">
                  <c:v>1005.3328047821582</c:v>
                </c:pt>
                <c:pt idx="2">
                  <c:v>356.99918261530001</c:v>
                </c:pt>
                <c:pt idx="3">
                  <c:v>185.19521103505866</c:v>
                </c:pt>
                <c:pt idx="4">
                  <c:v>9.5143134705358925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A8F-B0D9-F9BC83134835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transporte'!$I$42:$N$42</c:f>
              <c:numCache>
                <c:formatCode>_-* #,##0.0\ _P_t_a_-;\-* #,##0.0\ _P_t_a_-;_-* "-"??\ _P_t_a_-;_-@_-</c:formatCode>
                <c:ptCount val="6"/>
                <c:pt idx="0">
                  <c:v>2294.8149400409648</c:v>
                </c:pt>
                <c:pt idx="1">
                  <c:v>972.36291555412379</c:v>
                </c:pt>
                <c:pt idx="2">
                  <c:v>349.01791354160292</c:v>
                </c:pt>
                <c:pt idx="3">
                  <c:v>185.40432785476958</c:v>
                </c:pt>
                <c:pt idx="4">
                  <c:v>9.6562127122565542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A8F-B0D9-F9BC83134835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transporte'!$I$43:$N$43</c:f>
              <c:numCache>
                <c:formatCode>_-* #,##0.0\ _P_t_a_-;\-* #,##0.0\ _P_t_a_-;_-* "-"??\ _P_t_a_-;_-@_-</c:formatCode>
                <c:ptCount val="6"/>
                <c:pt idx="0">
                  <c:v>2257.8253127268654</c:v>
                </c:pt>
                <c:pt idx="1">
                  <c:v>1014.2521744613467</c:v>
                </c:pt>
                <c:pt idx="2">
                  <c:v>366.17525555676247</c:v>
                </c:pt>
                <c:pt idx="3">
                  <c:v>193.58108637078624</c:v>
                </c:pt>
                <c:pt idx="4">
                  <c:v>10.202391598740606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A8F-B0D9-F9BC8313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distribución'!$B$39:$G$39</c:f>
              <c:numCache>
                <c:formatCode>_-* #,##0.0\ _P_t_a_-;\-* #,##0.0\ _P_t_a_-;_-* "-"??\ _P_t_a_-;_-@_-</c:formatCode>
                <c:ptCount val="6"/>
                <c:pt idx="0">
                  <c:v>12.641763019795265</c:v>
                </c:pt>
                <c:pt idx="1">
                  <c:v>6.7217723027113943</c:v>
                </c:pt>
                <c:pt idx="2">
                  <c:v>2.1433915192189223</c:v>
                </c:pt>
                <c:pt idx="3">
                  <c:v>1.7014317188989483</c:v>
                </c:pt>
                <c:pt idx="4">
                  <c:v>2.5400601868426447E-2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1-4016-8443-67C5F19F2511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distribución'!$B$40:$G$40</c:f>
              <c:numCache>
                <c:formatCode>_-* #,##0.0\ _P_t_a_-;\-* #,##0.0\ _P_t_a_-;_-* "-"??\ _P_t_a_-;_-@_-</c:formatCode>
                <c:ptCount val="6"/>
                <c:pt idx="0">
                  <c:v>309.21199517642657</c:v>
                </c:pt>
                <c:pt idx="1">
                  <c:v>164.38615255048259</c:v>
                </c:pt>
                <c:pt idx="2">
                  <c:v>63.215943345832081</c:v>
                </c:pt>
                <c:pt idx="3">
                  <c:v>45.69943132834414</c:v>
                </c:pt>
                <c:pt idx="4">
                  <c:v>0.8782952281859806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1-4016-8443-67C5F19F2511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distribución'!$B$41:$G$41</c:f>
              <c:numCache>
                <c:formatCode>_-* #,##0.0\ _P_t_a_-;\-* #,##0.0\ _P_t_a_-;_-* "-"??\ _P_t_a_-;_-@_-</c:formatCode>
                <c:ptCount val="6"/>
                <c:pt idx="0">
                  <c:v>179.10964946336574</c:v>
                </c:pt>
                <c:pt idx="1">
                  <c:v>105.62704829002854</c:v>
                </c:pt>
                <c:pt idx="2">
                  <c:v>26.440099682873914</c:v>
                </c:pt>
                <c:pt idx="3">
                  <c:v>16.716760428027346</c:v>
                </c:pt>
                <c:pt idx="4">
                  <c:v>0.45671562009771516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1-4016-8443-67C5F19F2511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distribución'!$B$42:$G$42</c:f>
              <c:numCache>
                <c:formatCode>_-* #,##0.0\ _P_t_a_-;\-* #,##0.0\ _P_t_a_-;_-* "-"??\ _P_t_a_-;_-@_-</c:formatCode>
                <c:ptCount val="6"/>
                <c:pt idx="0">
                  <c:v>132.45948310429154</c:v>
                </c:pt>
                <c:pt idx="1">
                  <c:v>83.261748445751934</c:v>
                </c:pt>
                <c:pt idx="2">
                  <c:v>26.436335206062886</c:v>
                </c:pt>
                <c:pt idx="3">
                  <c:v>18.354852511082235</c:v>
                </c:pt>
                <c:pt idx="4">
                  <c:v>0.42691959905248411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1-4016-8443-67C5F19F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distribución'!$I$39:$N$39</c:f>
              <c:numCache>
                <c:formatCode>_-* #,##0.0\ _P_t_a_-;\-* #,##0.0\ _P_t_a_-;_-* "-"??\ _P_t_a_-;_-@_-</c:formatCode>
                <c:ptCount val="6"/>
                <c:pt idx="0">
                  <c:v>787.10841000234097</c:v>
                </c:pt>
                <c:pt idx="1">
                  <c:v>342.54891302502313</c:v>
                </c:pt>
                <c:pt idx="2">
                  <c:v>133.6173152476847</c:v>
                </c:pt>
                <c:pt idx="3">
                  <c:v>78.588779373074814</c:v>
                </c:pt>
                <c:pt idx="4">
                  <c:v>3.3593527645273671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F-40FF-A9D3-8FE3657CA624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distribución'!$I$40:$N$40</c:f>
              <c:numCache>
                <c:formatCode>_-* #,##0.0\ _P_t_a_-;\-* #,##0.0\ _P_t_a_-;_-* "-"??\ _P_t_a_-;_-@_-</c:formatCode>
                <c:ptCount val="6"/>
                <c:pt idx="0">
                  <c:v>795.60032866252072</c:v>
                </c:pt>
                <c:pt idx="1">
                  <c:v>351.17673546561224</c:v>
                </c:pt>
                <c:pt idx="2">
                  <c:v>143.78270747427968</c:v>
                </c:pt>
                <c:pt idx="3">
                  <c:v>85.379793920869119</c:v>
                </c:pt>
                <c:pt idx="4">
                  <c:v>3.6614585686194281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F-40FF-A9D3-8FE3657CA624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distribución'!$I$41:$N$41</c:f>
              <c:numCache>
                <c:formatCode>_-* #,##0.0\ _P_t_a_-;\-* #,##0.0\ _P_t_a_-;_-* "-"??\ _P_t_a_-;_-@_-</c:formatCode>
                <c:ptCount val="6"/>
                <c:pt idx="0">
                  <c:v>535.09967670347862</c:v>
                </c:pt>
                <c:pt idx="1">
                  <c:v>258.23827666023834</c:v>
                </c:pt>
                <c:pt idx="2">
                  <c:v>83.308513900679813</c:v>
                </c:pt>
                <c:pt idx="3">
                  <c:v>45.256457520027801</c:v>
                </c:pt>
                <c:pt idx="4">
                  <c:v>2.3848642495958297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F-40FF-A9D3-8FE3657CA624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distribución'!$I$42:$N$42</c:f>
              <c:numCache>
                <c:formatCode>_-* #,##0.0\ _P_t_a_-;\-* #,##0.0\ _P_t_a_-;_-* "-"??\ _P_t_a_-;_-@_-</c:formatCode>
                <c:ptCount val="6"/>
                <c:pt idx="0">
                  <c:v>541.79240040262027</c:v>
                </c:pt>
                <c:pt idx="1">
                  <c:v>251.6222511842353</c:v>
                </c:pt>
                <c:pt idx="2">
                  <c:v>87.547114087628373</c:v>
                </c:pt>
                <c:pt idx="3">
                  <c:v>49.724257571253197</c:v>
                </c:pt>
                <c:pt idx="4">
                  <c:v>2.5029880341643902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F-40FF-A9D3-8FE3657C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T&amp;D'!$B$45:$G$45</c:f>
              <c:numCache>
                <c:formatCode>_-* #,##0.0\ _P_t_a_-;\-* #,##0.0\ _P_t_a_-;_-* "-"??\ _P_t_a_-;_-@_-</c:formatCode>
                <c:ptCount val="6"/>
                <c:pt idx="0">
                  <c:v>27.578010537889387</c:v>
                </c:pt>
                <c:pt idx="1">
                  <c:v>14.576159945156524</c:v>
                </c:pt>
                <c:pt idx="2">
                  <c:v>4.6232077065574293</c:v>
                </c:pt>
                <c:pt idx="3">
                  <c:v>3.5349823837807159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3B6-8C13-4F9946CC7DE1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T&amp;D'!$B$46:$G$46</c:f>
              <c:numCache>
                <c:formatCode>_-* #,##0.0\ _P_t_a_-;\-* #,##0.0\ _P_t_a_-;_-* "-"??\ _P_t_a_-;_-@_-</c:formatCode>
                <c:ptCount val="6"/>
                <c:pt idx="0">
                  <c:v>380.00602061458432</c:v>
                </c:pt>
                <c:pt idx="1">
                  <c:v>200.91055774973509</c:v>
                </c:pt>
                <c:pt idx="2">
                  <c:v>75.399447708955478</c:v>
                </c:pt>
                <c:pt idx="3">
                  <c:v>53.129836560382749</c:v>
                </c:pt>
                <c:pt idx="4">
                  <c:v>1.123286131714992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3B6-8C13-4F9946CC7DE1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T&amp;D'!$B$48:$G$48</c:f>
              <c:numCache>
                <c:formatCode>_-* #,##0.0\ _P_t_a_-;\-* #,##0.0\ _P_t_a_-;_-* "-"??\ _P_t_a_-;_-@_-</c:formatCode>
                <c:ptCount val="6"/>
                <c:pt idx="0">
                  <c:v>270.4266883849142</c:v>
                </c:pt>
                <c:pt idx="1">
                  <c:v>162.94288936223532</c:v>
                </c:pt>
                <c:pt idx="2">
                  <c:v>53.084024558326028</c:v>
                </c:pt>
                <c:pt idx="3">
                  <c:v>34.595689763187572</c:v>
                </c:pt>
                <c:pt idx="4">
                  <c:v>1.135997995238692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3B6-8C13-4F9946CC7DE1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T&amp;D'!$B$49:$G$49</c:f>
              <c:numCache>
                <c:formatCode>_-* #,##0.0\ _P_t_a_-;\-* #,##0.0\ _P_t_a_-;_-* "-"??\ _P_t_a_-;_-@_-</c:formatCode>
                <c:ptCount val="6"/>
                <c:pt idx="0">
                  <c:v>499.97837796828765</c:v>
                </c:pt>
                <c:pt idx="1">
                  <c:v>298.91358773992869</c:v>
                </c:pt>
                <c:pt idx="2">
                  <c:v>72.590622866246875</c:v>
                </c:pt>
                <c:pt idx="3">
                  <c:v>50.457552537743723</c:v>
                </c:pt>
                <c:pt idx="4">
                  <c:v>1.5005690008345347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F-43B6-8C13-4F9946CC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'VII. Peajes T&amp;D'!$A$47</c15:sqref>
                        </c15:formulaRef>
                      </c:ext>
                    </c:extLst>
                    <c:strCache>
                      <c:ptCount val="1"/>
                      <c:pt idx="0">
                        <c:v>6.2 TD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'VII. Peajes T&amp;D'!$B$47:$G$47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6"/>
                      <c:pt idx="0">
                        <c:v>315.65252402476546</c:v>
                      </c:pt>
                      <c:pt idx="1">
                        <c:v>179.01874501462376</c:v>
                      </c:pt>
                      <c:pt idx="2">
                        <c:v>47.128727162228891</c:v>
                      </c:pt>
                      <c:pt idx="3">
                        <c:v>28.71629885668705</c:v>
                      </c:pt>
                      <c:pt idx="4">
                        <c:v>1.1258024081741178</c:v>
                      </c:pt>
                      <c:pt idx="5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4FF-43B6-8C13-4F9946CC7DE1}"/>
                  </c:ext>
                </c:extLst>
              </c15:ser>
            </c15:filteredLineSeries>
          </c:ext>
        </c:extLst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437446615469362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T&amp;D'!$I$45:$N$45</c:f>
              <c:numCache>
                <c:formatCode>_-* #,##0.0\ _P_t_a_-;\-* #,##0.0\ _P_t_a_-;_-* "-"??\ _P_t_a_-;_-@_-</c:formatCode>
                <c:ptCount val="6"/>
                <c:pt idx="0">
                  <c:v>920.25806451612902</c:v>
                </c:pt>
                <c:pt idx="1">
                  <c:v>398.16129032258061</c:v>
                </c:pt>
                <c:pt idx="2">
                  <c:v>150.74193548387098</c:v>
                </c:pt>
                <c:pt idx="3">
                  <c:v>86.516129032258078</c:v>
                </c:pt>
                <c:pt idx="4">
                  <c:v>3.8387096774193545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4-4E60-8E80-16677E77D9BE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T&amp;D'!$I$46:$N$46</c:f>
              <c:numCache>
                <c:formatCode>_-* #,##0.0\ _P_t_a_-;\-* #,##0.0\ _P_t_a_-;_-* "-"??\ _P_t_a_-;_-@_-</c:formatCode>
                <c:ptCount val="6"/>
                <c:pt idx="0">
                  <c:v>934.62068965517244</c:v>
                </c:pt>
                <c:pt idx="1">
                  <c:v>410.13793103448279</c:v>
                </c:pt>
                <c:pt idx="2">
                  <c:v>162.9655172413793</c:v>
                </c:pt>
                <c:pt idx="3">
                  <c:v>94.448275862068968</c:v>
                </c:pt>
                <c:pt idx="4">
                  <c:v>4.2068965517241379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4-4E60-8E80-16677E77D9BE}"/>
            </c:ext>
          </c:extLst>
        </c:ser>
        <c:ser>
          <c:idx val="2"/>
          <c:order val="2"/>
          <c:tx>
            <c:strRef>
              <c:f>'VII. Peajes T&amp;D'!$A$47</c:f>
              <c:strCache>
                <c:ptCount val="1"/>
                <c:pt idx="0">
                  <c:v>6.2 TD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T&amp;D'!$I$47:$N$47</c:f>
              <c:numCache>
                <c:formatCode>_-* #,##0.0\ _P_t_a_-;\-* #,##0.0\ _P_t_a_-;_-* "-"??\ _P_t_a_-;_-@_-</c:formatCode>
                <c:ptCount val="6"/>
                <c:pt idx="0">
                  <c:v>738.5</c:v>
                </c:pt>
                <c:pt idx="1">
                  <c:v>342</c:v>
                </c:pt>
                <c:pt idx="2">
                  <c:v>113.94999999999997</c:v>
                </c:pt>
                <c:pt idx="3">
                  <c:v>60.949999999999996</c:v>
                </c:pt>
                <c:pt idx="4">
                  <c:v>3.15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4-4E60-8E80-16677E77D9BE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T&amp;D'!$I$48:$N$48</c:f>
              <c:numCache>
                <c:formatCode>_-* #,##0.0\ _P_t_a_-;\-* #,##0.0\ _P_t_a_-;_-* "-"??\ _P_t_a_-;_-@_-</c:formatCode>
                <c:ptCount val="6"/>
                <c:pt idx="0">
                  <c:v>819.59999999999991</c:v>
                </c:pt>
                <c:pt idx="1">
                  <c:v>364.66666666666669</c:v>
                </c:pt>
                <c:pt idx="2">
                  <c:v>128.73333333333332</c:v>
                </c:pt>
                <c:pt idx="3">
                  <c:v>70.86666666666666</c:v>
                </c:pt>
                <c:pt idx="4">
                  <c:v>3.6666666666666665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4-4E60-8E80-16677E77D9BE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T&amp;D'!$I$49:$N$49</c:f>
              <c:numCache>
                <c:formatCode>_-* #,##0.0\ _P_t_a_-;\-* #,##0.0\ _P_t_a_-;_-* "-"??\ _P_t_a_-;_-@_-</c:formatCode>
                <c:ptCount val="6"/>
                <c:pt idx="0">
                  <c:v>1986</c:v>
                </c:pt>
                <c:pt idx="1">
                  <c:v>892.25000000000011</c:v>
                </c:pt>
                <c:pt idx="2">
                  <c:v>322.00000000000006</c:v>
                </c:pt>
                <c:pt idx="3">
                  <c:v>170.25</c:v>
                </c:pt>
                <c:pt idx="4">
                  <c:v>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D4-4E60-8E80-16677E77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6238234395721437"/>
          <c:h val="7.37710081321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1089406</xdr:colOff>
      <xdr:row>3</xdr:row>
      <xdr:rowOff>100711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FD827-92F2-4E6F-82D2-3188734E3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50</xdr:row>
      <xdr:rowOff>38100</xdr:rowOff>
    </xdr:from>
    <xdr:to>
      <xdr:col>6</xdr:col>
      <xdr:colOff>847724</xdr:colOff>
      <xdr:row>68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2260A-632B-4D6A-AC43-F36BB88A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50</xdr:row>
      <xdr:rowOff>19050</xdr:rowOff>
    </xdr:from>
    <xdr:to>
      <xdr:col>14</xdr:col>
      <xdr:colOff>19051</xdr:colOff>
      <xdr:row>68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C8279A-AA3C-4590-85F6-34090874C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255651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47433F-B7D1-4FC5-BFB9-02E342EB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99441</xdr:colOff>
      <xdr:row>3</xdr:row>
      <xdr:rowOff>99441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05B3A-5862-449C-BFEC-1F2E005F7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76581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83739-963E-492E-ADCE-73840ACE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665226</xdr:colOff>
      <xdr:row>3</xdr:row>
      <xdr:rowOff>95631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CD6983-86F7-4977-908D-ED1152C93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03976" cy="5814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6</xdr:col>
      <xdr:colOff>703326</xdr:colOff>
      <xdr:row>3</xdr:row>
      <xdr:rowOff>107061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CD532A-74D1-486F-9B59-7EAA4F02C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5903976" cy="573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9B9EBE-BF2E-41F3-80F1-EED7D4AD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272796</xdr:colOff>
      <xdr:row>3</xdr:row>
      <xdr:rowOff>86106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76AEC-DDAF-4146-BD6E-DB52A211C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423291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DDF65-C2FD-4327-A922-9688380D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4EEA2-BCA1-4DB9-9E7E-0835BB88E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28575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566C9-AEA0-4EBF-AB0B-164DAB27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249933</xdr:colOff>
      <xdr:row>3</xdr:row>
      <xdr:rowOff>97533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2B7086-6E8F-4758-87D5-DCF3DED0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30CC31-0BB4-4B6E-8BED-26AEAAA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66675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5764-E4DD-495B-A58D-8EA4BF1B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211836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9F650D-6738-4F42-8DB6-4D33AD65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25146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68AB5-A03F-4663-8AAC-DB12ADDDC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6:P158"/>
  <sheetViews>
    <sheetView showGridLines="0" tabSelected="1" zoomScale="80" zoomScaleNormal="80" zoomScaleSheetLayoutView="115" workbookViewId="0"/>
  </sheetViews>
  <sheetFormatPr baseColWidth="10" defaultColWidth="11.3984375" defaultRowHeight="12.75" x14ac:dyDescent="0.35"/>
  <cols>
    <col min="1" max="1" width="20.3984375" style="1" customWidth="1"/>
    <col min="2" max="2" width="18.3984375" style="1" customWidth="1"/>
    <col min="3" max="3" width="18.3984375" style="1" bestFit="1" customWidth="1"/>
    <col min="4" max="4" width="15.1328125" style="1" customWidth="1"/>
    <col min="5" max="5" width="17.265625" style="1" customWidth="1"/>
    <col min="6" max="6" width="14.59765625" style="1" customWidth="1"/>
    <col min="7" max="7" width="12.73046875" style="1" customWidth="1"/>
    <col min="8" max="8" width="13.73046875" style="1" customWidth="1"/>
    <col min="9" max="9" width="13.1328125" style="1" bestFit="1" customWidth="1"/>
    <col min="10" max="10" width="10.73046875" style="1" bestFit="1" customWidth="1"/>
    <col min="11" max="11" width="17.59765625" style="1" customWidth="1"/>
    <col min="12" max="16384" width="11.3984375" style="1"/>
  </cols>
  <sheetData>
    <row r="6" spans="1:8" s="4" customFormat="1" ht="30" customHeight="1" x14ac:dyDescent="0.35">
      <c r="A6" s="365" t="s">
        <v>181</v>
      </c>
      <c r="B6" s="365"/>
    </row>
    <row r="7" spans="1:8" ht="5.25" customHeight="1" x14ac:dyDescent="0.35"/>
    <row r="8" spans="1:8" s="2" customFormat="1" ht="19.5" customHeight="1" x14ac:dyDescent="0.35">
      <c r="A8" s="5" t="s">
        <v>105</v>
      </c>
      <c r="B8" s="5"/>
    </row>
    <row r="9" spans="1:8" ht="5.25" customHeight="1" x14ac:dyDescent="0.35">
      <c r="D9" s="2"/>
      <c r="E9" s="2"/>
      <c r="F9" s="2"/>
      <c r="G9" s="2"/>
      <c r="H9" s="2"/>
    </row>
    <row r="10" spans="1:8" s="2" customFormat="1" ht="19.5" customHeight="1" x14ac:dyDescent="0.35">
      <c r="A10" s="5" t="s">
        <v>106</v>
      </c>
      <c r="B10" s="5"/>
    </row>
    <row r="11" spans="1:8" ht="13.5" thickBot="1" x14ac:dyDescent="0.4">
      <c r="D11" s="2"/>
      <c r="E11" s="2"/>
      <c r="F11" s="2"/>
      <c r="G11" s="2"/>
      <c r="H11" s="2"/>
    </row>
    <row r="12" spans="1:8" s="25" customFormat="1" ht="53.65" customHeight="1" thickBot="1" x14ac:dyDescent="0.4">
      <c r="C12" s="589" t="s">
        <v>238</v>
      </c>
      <c r="D12" s="2"/>
      <c r="E12" s="2"/>
      <c r="F12" s="2"/>
      <c r="G12" s="2"/>
    </row>
    <row r="13" spans="1:8" s="25" customFormat="1" ht="7.5" customHeight="1" thickBot="1" x14ac:dyDescent="0.4">
      <c r="D13" s="2"/>
      <c r="E13" s="2"/>
      <c r="F13" s="2"/>
      <c r="G13" s="2"/>
    </row>
    <row r="14" spans="1:8" s="26" customFormat="1" ht="46.5" customHeight="1" x14ac:dyDescent="0.35">
      <c r="A14" s="597" t="s">
        <v>33</v>
      </c>
      <c r="B14" s="598"/>
      <c r="C14" s="590">
        <f>C15+C16+C17</f>
        <v>1056967.9355029783</v>
      </c>
      <c r="D14" s="475"/>
      <c r="E14" s="570"/>
      <c r="F14" s="303"/>
      <c r="G14" s="2"/>
    </row>
    <row r="15" spans="1:8" s="27" customFormat="1" ht="20.25" customHeight="1" x14ac:dyDescent="0.35">
      <c r="A15" s="401" t="s">
        <v>24</v>
      </c>
      <c r="B15" s="402"/>
      <c r="C15" s="555">
        <v>1245265</v>
      </c>
      <c r="D15" s="2"/>
      <c r="E15" s="2"/>
      <c r="F15" s="2"/>
      <c r="G15" s="2"/>
    </row>
    <row r="16" spans="1:8" s="27" customFormat="1" ht="20.25" customHeight="1" x14ac:dyDescent="0.35">
      <c r="A16" s="404" t="s">
        <v>25</v>
      </c>
      <c r="B16" s="405"/>
      <c r="C16" s="556">
        <v>-20602.897116996988</v>
      </c>
      <c r="D16" s="2"/>
      <c r="E16" s="568"/>
      <c r="F16" s="532"/>
      <c r="G16" s="2"/>
    </row>
    <row r="17" spans="1:10" s="27" customFormat="1" ht="20.25" customHeight="1" x14ac:dyDescent="0.35">
      <c r="A17" s="404" t="s">
        <v>26</v>
      </c>
      <c r="B17" s="405"/>
      <c r="C17" s="556">
        <f>C18+C19+C24</f>
        <v>-167694.16738002474</v>
      </c>
      <c r="D17" s="2"/>
      <c r="E17" s="569"/>
      <c r="F17" s="2"/>
      <c r="G17" s="2"/>
    </row>
    <row r="18" spans="1:10" s="27" customFormat="1" ht="20.25" customHeight="1" x14ac:dyDescent="0.35">
      <c r="A18" s="403" t="s">
        <v>32</v>
      </c>
      <c r="B18" s="405"/>
      <c r="C18" s="571">
        <v>-275970.11893987929</v>
      </c>
      <c r="D18" s="2"/>
      <c r="E18" s="569"/>
      <c r="F18" s="2"/>
      <c r="G18" s="2"/>
    </row>
    <row r="19" spans="1:10" s="27" customFormat="1" ht="20.25" customHeight="1" x14ac:dyDescent="0.35">
      <c r="A19" s="403" t="s">
        <v>129</v>
      </c>
      <c r="B19" s="405"/>
      <c r="C19" s="565">
        <v>103616.63626187768</v>
      </c>
      <c r="D19" s="2"/>
      <c r="E19" s="569"/>
      <c r="F19" s="2"/>
      <c r="G19" s="2"/>
    </row>
    <row r="20" spans="1:10" s="27" customFormat="1" ht="20.25" customHeight="1" x14ac:dyDescent="0.35">
      <c r="A20" s="536" t="s">
        <v>222</v>
      </c>
      <c r="B20" s="535"/>
      <c r="C20" s="566">
        <v>13534.711781048973</v>
      </c>
      <c r="E20" s="569"/>
      <c r="F20" s="2"/>
      <c r="G20" s="2"/>
    </row>
    <row r="21" spans="1:10" s="27" customFormat="1" ht="20.25" customHeight="1" x14ac:dyDescent="0.35">
      <c r="A21" s="536" t="s">
        <v>221</v>
      </c>
      <c r="B21" s="535"/>
      <c r="C21" s="566">
        <v>-824.77395000000001</v>
      </c>
      <c r="D21" s="2"/>
      <c r="E21" s="569"/>
      <c r="F21" s="2"/>
      <c r="G21" s="2"/>
    </row>
    <row r="22" spans="1:10" s="27" customFormat="1" ht="20.25" customHeight="1" x14ac:dyDescent="0.35">
      <c r="A22" s="536" t="s">
        <v>220</v>
      </c>
      <c r="B22" s="535"/>
      <c r="C22" s="566">
        <v>-19905.566259999985</v>
      </c>
      <c r="D22" s="2"/>
      <c r="E22" s="569"/>
      <c r="F22" s="2"/>
      <c r="G22" s="2"/>
      <c r="J22" s="42"/>
    </row>
    <row r="23" spans="1:10" s="27" customFormat="1" ht="20.25" customHeight="1" x14ac:dyDescent="0.35">
      <c r="A23" s="536" t="s">
        <v>227</v>
      </c>
      <c r="B23" s="535"/>
      <c r="C23" s="566">
        <v>110812.26469082868</v>
      </c>
      <c r="D23" s="2"/>
      <c r="E23" s="569"/>
      <c r="F23" s="2"/>
      <c r="G23" s="2"/>
      <c r="J23" s="42"/>
    </row>
    <row r="24" spans="1:10" s="27" customFormat="1" ht="20.25" customHeight="1" thickBot="1" x14ac:dyDescent="0.4">
      <c r="A24" s="406" t="s">
        <v>27</v>
      </c>
      <c r="B24" s="407"/>
      <c r="C24" s="567">
        <v>4659.3152979768929</v>
      </c>
      <c r="D24" s="2"/>
      <c r="E24" s="569"/>
      <c r="F24" s="2"/>
      <c r="G24" s="2"/>
    </row>
    <row r="25" spans="1:10" s="27" customFormat="1" ht="13.15" x14ac:dyDescent="0.35">
      <c r="A25" s="188" t="s">
        <v>224</v>
      </c>
      <c r="C25" s="190"/>
      <c r="D25" s="2"/>
      <c r="E25" s="569"/>
      <c r="F25" s="2"/>
      <c r="G25" s="2"/>
    </row>
    <row r="26" spans="1:10" s="25" customFormat="1" ht="13.15" x14ac:dyDescent="0.35">
      <c r="D26" s="2"/>
      <c r="E26" s="2"/>
      <c r="F26" s="2"/>
      <c r="G26" s="2"/>
    </row>
    <row r="27" spans="1:10" s="25" customFormat="1" ht="15" x14ac:dyDescent="0.35">
      <c r="A27" s="5" t="s">
        <v>107</v>
      </c>
      <c r="B27" s="5"/>
      <c r="C27" s="2"/>
      <c r="D27" s="2"/>
      <c r="E27" s="2"/>
      <c r="F27" s="2"/>
      <c r="G27" s="2"/>
    </row>
    <row r="28" spans="1:10" s="25" customFormat="1" ht="13.5" thickBot="1" x14ac:dyDescent="0.4">
      <c r="D28" s="2"/>
      <c r="E28" s="2"/>
      <c r="F28" s="2"/>
    </row>
    <row r="29" spans="1:10" s="25" customFormat="1" ht="48.75" customHeight="1" thickBot="1" x14ac:dyDescent="0.4">
      <c r="C29" s="589" t="s">
        <v>238</v>
      </c>
      <c r="D29" s="2"/>
      <c r="E29" s="2"/>
      <c r="F29" s="2"/>
      <c r="G29" s="2"/>
    </row>
    <row r="30" spans="1:10" s="25" customFormat="1" ht="7.5" customHeight="1" thickBot="1" x14ac:dyDescent="0.4">
      <c r="D30" s="2"/>
      <c r="E30" s="2"/>
      <c r="F30" s="2"/>
      <c r="G30" s="2"/>
    </row>
    <row r="31" spans="1:10" s="26" customFormat="1" ht="48.75" customHeight="1" x14ac:dyDescent="0.35">
      <c r="A31" s="599" t="s">
        <v>30</v>
      </c>
      <c r="B31" s="600"/>
      <c r="C31" s="591">
        <f>C32+C33</f>
        <v>5292271.0123305833</v>
      </c>
      <c r="D31" s="2"/>
      <c r="E31" s="475"/>
      <c r="F31" s="303"/>
      <c r="H31" s="41"/>
    </row>
    <row r="32" spans="1:10" s="27" customFormat="1" ht="20.25" customHeight="1" x14ac:dyDescent="0.35">
      <c r="A32" s="401" t="s">
        <v>29</v>
      </c>
      <c r="B32" s="402"/>
      <c r="C32" s="555">
        <v>5826373.7441738863</v>
      </c>
      <c r="D32" s="2"/>
      <c r="E32" s="2"/>
      <c r="F32" s="2"/>
      <c r="I32" s="42"/>
    </row>
    <row r="33" spans="1:8" s="27" customFormat="1" ht="20.25" customHeight="1" x14ac:dyDescent="0.35">
      <c r="A33" s="408" t="s">
        <v>28</v>
      </c>
      <c r="B33" s="405"/>
      <c r="C33" s="556">
        <f>C34+C35+C39</f>
        <v>-534102.73184330319</v>
      </c>
      <c r="D33" s="2"/>
      <c r="E33" s="2"/>
      <c r="F33" s="2"/>
    </row>
    <row r="34" spans="1:8" s="27" customFormat="1" ht="20.25" customHeight="1" x14ac:dyDescent="0.35">
      <c r="A34" s="403" t="s">
        <v>32</v>
      </c>
      <c r="B34" s="405"/>
      <c r="C34" s="557">
        <v>-15158.626400525915</v>
      </c>
      <c r="E34" s="2"/>
      <c r="F34" s="2"/>
    </row>
    <row r="35" spans="1:8" s="27" customFormat="1" ht="20.25" customHeight="1" x14ac:dyDescent="0.35">
      <c r="A35" s="403" t="s">
        <v>31</v>
      </c>
      <c r="B35" s="405"/>
      <c r="C35" s="557">
        <v>-620525.65371876711</v>
      </c>
      <c r="E35" s="2"/>
      <c r="F35" s="2"/>
    </row>
    <row r="36" spans="1:8" s="27" customFormat="1" ht="20.25" customHeight="1" x14ac:dyDescent="0.35">
      <c r="A36" s="536" t="s">
        <v>31</v>
      </c>
      <c r="B36" s="405"/>
      <c r="C36" s="572"/>
      <c r="E36" s="2"/>
      <c r="F36" s="2"/>
    </row>
    <row r="37" spans="1:8" s="27" customFormat="1" ht="20.25" customHeight="1" x14ac:dyDescent="0.35">
      <c r="A37" s="536" t="s">
        <v>221</v>
      </c>
      <c r="B37" s="405"/>
      <c r="C37" s="558"/>
      <c r="D37" s="2"/>
      <c r="E37" s="2"/>
      <c r="F37" s="2"/>
    </row>
    <row r="38" spans="1:8" s="27" customFormat="1" ht="20.25" customHeight="1" x14ac:dyDescent="0.35">
      <c r="A38" s="536" t="s">
        <v>220</v>
      </c>
      <c r="B38" s="405"/>
      <c r="C38" s="558"/>
      <c r="D38" s="2"/>
      <c r="E38" s="2"/>
      <c r="F38" s="2"/>
    </row>
    <row r="39" spans="1:8" s="27" customFormat="1" ht="20.25" customHeight="1" thickBot="1" x14ac:dyDescent="0.4">
      <c r="A39" s="409" t="s">
        <v>227</v>
      </c>
      <c r="B39" s="407"/>
      <c r="C39" s="573">
        <v>101581.54827598984</v>
      </c>
      <c r="D39" s="2"/>
      <c r="E39" s="2"/>
      <c r="F39" s="2"/>
    </row>
    <row r="40" spans="1:8" s="26" customFormat="1" x14ac:dyDescent="0.35">
      <c r="A40" s="188" t="s">
        <v>235</v>
      </c>
    </row>
    <row r="41" spans="1:8" ht="13.15" x14ac:dyDescent="0.35">
      <c r="A41" s="13"/>
      <c r="B41" s="14"/>
      <c r="E41" s="2"/>
      <c r="F41" s="2"/>
      <c r="G41" s="2"/>
      <c r="H41" s="2"/>
    </row>
    <row r="42" spans="1:8" s="2" customFormat="1" ht="15" customHeight="1" x14ac:dyDescent="0.35">
      <c r="A42" s="5" t="s">
        <v>114</v>
      </c>
      <c r="B42" s="5"/>
    </row>
    <row r="43" spans="1:8" ht="13.15" thickBot="1" x14ac:dyDescent="0.4"/>
    <row r="44" spans="1:8" s="2" customFormat="1" ht="30.75" customHeight="1" x14ac:dyDescent="0.35">
      <c r="A44" s="411" t="s">
        <v>0</v>
      </c>
      <c r="B44" s="412" t="s">
        <v>8</v>
      </c>
      <c r="C44" s="1"/>
      <c r="D44" s="1"/>
      <c r="E44" s="1"/>
      <c r="F44" s="1"/>
      <c r="G44" s="1"/>
    </row>
    <row r="45" spans="1:8" ht="15" customHeight="1" x14ac:dyDescent="0.35">
      <c r="A45" s="56" t="s">
        <v>46</v>
      </c>
      <c r="B45" s="49">
        <v>0.38319999999999999</v>
      </c>
      <c r="D45" s="48"/>
    </row>
    <row r="46" spans="1:8" ht="15" customHeight="1" x14ac:dyDescent="0.35">
      <c r="A46" s="45" t="s">
        <v>34</v>
      </c>
      <c r="B46" s="50">
        <v>0.40570000000000001</v>
      </c>
      <c r="D46" s="48"/>
    </row>
    <row r="47" spans="1:8" ht="15" customHeight="1" x14ac:dyDescent="0.35">
      <c r="A47" s="45" t="s">
        <v>35</v>
      </c>
      <c r="B47" s="50">
        <v>0.11609999999999999</v>
      </c>
      <c r="D47" s="48"/>
    </row>
    <row r="48" spans="1:8" ht="15" customHeight="1" x14ac:dyDescent="0.35">
      <c r="A48" s="3" t="s">
        <v>36</v>
      </c>
      <c r="B48" s="50">
        <v>9.5000000000000001E-2</v>
      </c>
      <c r="D48" s="48"/>
    </row>
    <row r="49" spans="1:4" ht="15" customHeight="1" thickBot="1" x14ac:dyDescent="0.4">
      <c r="A49" s="54" t="s">
        <v>37</v>
      </c>
      <c r="B49" s="51">
        <v>0</v>
      </c>
      <c r="D49" s="48"/>
    </row>
    <row r="50" spans="1:4" ht="10.5" customHeight="1" thickBot="1" x14ac:dyDescent="0.4"/>
    <row r="51" spans="1:4" ht="15" customHeight="1" thickBot="1" x14ac:dyDescent="0.4">
      <c r="A51" s="53" t="s">
        <v>1</v>
      </c>
      <c r="B51" s="52">
        <f>SUM(B45:B49)</f>
        <v>0.99999999999999989</v>
      </c>
      <c r="D51" s="48"/>
    </row>
    <row r="52" spans="1:4" ht="20.25" customHeight="1" x14ac:dyDescent="0.35">
      <c r="A52" s="188" t="s">
        <v>112</v>
      </c>
      <c r="B52" s="16"/>
    </row>
    <row r="53" spans="1:4" x14ac:dyDescent="0.35">
      <c r="A53" s="188"/>
      <c r="B53" s="22"/>
    </row>
    <row r="54" spans="1:4" ht="14.25" customHeight="1" x14ac:dyDescent="0.35"/>
    <row r="55" spans="1:4" s="2" customFormat="1" ht="15" customHeight="1" x14ac:dyDescent="0.35">
      <c r="A55" s="5" t="s">
        <v>113</v>
      </c>
      <c r="B55" s="5"/>
    </row>
    <row r="56" spans="1:4" ht="5.25" customHeight="1" thickBot="1" x14ac:dyDescent="0.4"/>
    <row r="57" spans="1:4" s="2" customFormat="1" ht="22.5" customHeight="1" x14ac:dyDescent="0.35">
      <c r="A57" s="603" t="s">
        <v>0</v>
      </c>
      <c r="B57" s="30" t="s">
        <v>5</v>
      </c>
      <c r="C57" s="30"/>
      <c r="D57" s="29"/>
    </row>
    <row r="58" spans="1:4" s="2" customFormat="1" ht="27" customHeight="1" x14ac:dyDescent="0.35">
      <c r="A58" s="604"/>
      <c r="B58" s="31" t="s">
        <v>6</v>
      </c>
      <c r="C58" s="31" t="s">
        <v>7</v>
      </c>
      <c r="D58" s="32" t="s">
        <v>4</v>
      </c>
    </row>
    <row r="59" spans="1:4" ht="15" customHeight="1" x14ac:dyDescent="0.35">
      <c r="A59" s="56" t="s">
        <v>46</v>
      </c>
      <c r="B59" s="19">
        <v>1</v>
      </c>
      <c r="C59" s="19">
        <f>1-B59</f>
        <v>0</v>
      </c>
      <c r="D59" s="7">
        <f>SUM(B59:C59)</f>
        <v>1</v>
      </c>
    </row>
    <row r="60" spans="1:4" ht="15" customHeight="1" x14ac:dyDescent="0.35">
      <c r="A60" s="45" t="s">
        <v>34</v>
      </c>
      <c r="B60" s="20">
        <v>0.75</v>
      </c>
      <c r="C60" s="20">
        <f>1-B60</f>
        <v>0.25</v>
      </c>
      <c r="D60" s="8">
        <f>SUM(B60:C60)</f>
        <v>1</v>
      </c>
    </row>
    <row r="61" spans="1:4" ht="15" customHeight="1" x14ac:dyDescent="0.35">
      <c r="A61" s="45" t="s">
        <v>35</v>
      </c>
      <c r="B61" s="20">
        <v>0.75</v>
      </c>
      <c r="C61" s="20">
        <f>1-B61</f>
        <v>0.25</v>
      </c>
      <c r="D61" s="8">
        <f>SUM(B61:C61)</f>
        <v>1</v>
      </c>
    </row>
    <row r="62" spans="1:4" ht="15" customHeight="1" x14ac:dyDescent="0.35">
      <c r="A62" s="3" t="s">
        <v>36</v>
      </c>
      <c r="B62" s="20">
        <v>0.75</v>
      </c>
      <c r="C62" s="20">
        <f>1-B62</f>
        <v>0.25</v>
      </c>
      <c r="D62" s="8">
        <f>SUM(B62:C62)</f>
        <v>1</v>
      </c>
    </row>
    <row r="63" spans="1:4" ht="15" customHeight="1" thickBot="1" x14ac:dyDescent="0.4">
      <c r="A63" s="54" t="s">
        <v>37</v>
      </c>
      <c r="B63" s="21">
        <v>0.75</v>
      </c>
      <c r="C63" s="21">
        <f>1-B63</f>
        <v>0.25</v>
      </c>
      <c r="D63" s="9">
        <f>SUM(B63:C63)</f>
        <v>1</v>
      </c>
    </row>
    <row r="64" spans="1:4" ht="20.25" customHeight="1" x14ac:dyDescent="0.35">
      <c r="A64" s="188" t="s">
        <v>210</v>
      </c>
      <c r="B64" s="16"/>
    </row>
    <row r="65" spans="1:12" x14ac:dyDescent="0.35">
      <c r="A65" s="188"/>
      <c r="B65" s="16"/>
    </row>
    <row r="66" spans="1:12" ht="20.25" customHeight="1" x14ac:dyDescent="0.35">
      <c r="A66" s="5" t="s">
        <v>115</v>
      </c>
      <c r="B66" s="16"/>
    </row>
    <row r="67" spans="1:12" x14ac:dyDescent="0.35">
      <c r="A67" s="15"/>
      <c r="B67" s="22"/>
    </row>
    <row r="68" spans="1:12" ht="18.75" customHeight="1" x14ac:dyDescent="0.35">
      <c r="A68" s="218" t="s">
        <v>116</v>
      </c>
      <c r="B68" s="10"/>
      <c r="C68" s="10"/>
      <c r="D68" s="10"/>
    </row>
    <row r="69" spans="1:12" ht="5.25" customHeight="1" thickBot="1" x14ac:dyDescent="0.4">
      <c r="A69" s="218"/>
      <c r="B69" s="10"/>
      <c r="C69" s="10"/>
      <c r="D69" s="10"/>
    </row>
    <row r="70" spans="1:12" s="2" customFormat="1" ht="36" customHeight="1" thickBot="1" x14ac:dyDescent="0.4">
      <c r="A70" s="219" t="s">
        <v>23</v>
      </c>
      <c r="B70" s="220"/>
      <c r="C70" s="221"/>
      <c r="D70" s="221"/>
      <c r="E70" s="221"/>
      <c r="F70" s="36">
        <v>876</v>
      </c>
      <c r="G70" s="544"/>
      <c r="H70" s="544"/>
      <c r="I70" s="544"/>
    </row>
    <row r="71" spans="1:12" ht="11.25" customHeight="1" thickBot="1" x14ac:dyDescent="0.4">
      <c r="G71" s="2"/>
      <c r="H71" s="2"/>
      <c r="I71" s="2"/>
      <c r="J71" s="2"/>
      <c r="K71" s="2"/>
    </row>
    <row r="72" spans="1:12" customFormat="1" ht="21.75" customHeight="1" x14ac:dyDescent="0.35">
      <c r="A72" s="605" t="s">
        <v>3</v>
      </c>
      <c r="B72" s="30" t="s">
        <v>0</v>
      </c>
      <c r="C72" s="30"/>
      <c r="D72" s="30"/>
      <c r="E72" s="30"/>
      <c r="F72" s="29"/>
      <c r="G72" s="2"/>
      <c r="H72" s="2"/>
      <c r="I72" s="2"/>
      <c r="J72" s="2"/>
      <c r="K72" s="2"/>
    </row>
    <row r="73" spans="1:12" customFormat="1" ht="21.75" customHeight="1" x14ac:dyDescent="0.35">
      <c r="A73" s="606"/>
      <c r="B73" s="31">
        <v>0</v>
      </c>
      <c r="C73" s="31">
        <v>1</v>
      </c>
      <c r="D73" s="31">
        <v>2</v>
      </c>
      <c r="E73" s="31">
        <v>3</v>
      </c>
      <c r="F73" s="32">
        <v>4</v>
      </c>
      <c r="G73" s="2"/>
      <c r="H73" s="2"/>
      <c r="I73" s="2"/>
      <c r="J73" s="2"/>
      <c r="K73" s="2"/>
    </row>
    <row r="74" spans="1:12" customFormat="1" ht="15" customHeight="1" x14ac:dyDescent="0.35">
      <c r="A74" s="17">
        <v>1</v>
      </c>
      <c r="B74" s="520">
        <v>0.49372862029646525</v>
      </c>
      <c r="C74" s="520">
        <v>0.54161915621436718</v>
      </c>
      <c r="D74" s="520">
        <v>0.53591790193842648</v>
      </c>
      <c r="E74" s="520">
        <v>0.54047890535917897</v>
      </c>
      <c r="F74" s="521">
        <v>0.55808656036446469</v>
      </c>
      <c r="G74" s="2"/>
      <c r="H74" s="2"/>
      <c r="I74" s="2"/>
      <c r="J74" s="2"/>
      <c r="K74" s="2"/>
      <c r="L74" s="23"/>
    </row>
    <row r="75" spans="1:12" customFormat="1" ht="15" customHeight="1" x14ac:dyDescent="0.35">
      <c r="A75" s="17">
        <v>2</v>
      </c>
      <c r="B75" s="520">
        <v>0.27023945267958949</v>
      </c>
      <c r="C75" s="520">
        <v>0.27594070695553019</v>
      </c>
      <c r="D75" s="520">
        <v>0.31812998859749148</v>
      </c>
      <c r="E75" s="520">
        <v>0.30444697833523376</v>
      </c>
      <c r="F75" s="521">
        <v>0.29384965831435078</v>
      </c>
      <c r="G75" s="2"/>
      <c r="H75" s="2"/>
      <c r="I75" s="2"/>
      <c r="J75" s="2"/>
      <c r="K75" s="2"/>
      <c r="L75" s="23"/>
    </row>
    <row r="76" spans="1:12" customFormat="1" ht="15" customHeight="1" x14ac:dyDescent="0.35">
      <c r="A76" s="17">
        <v>3</v>
      </c>
      <c r="B76" s="520">
        <v>8.0957810718358045E-2</v>
      </c>
      <c r="C76" s="520">
        <v>0.10718358038768529</v>
      </c>
      <c r="D76" s="520">
        <v>8.7799315849486886E-2</v>
      </c>
      <c r="E76" s="520">
        <v>9.2360319270239452E-2</v>
      </c>
      <c r="F76" s="521">
        <v>9.2255125284738046E-2</v>
      </c>
      <c r="G76" s="2"/>
      <c r="H76" s="2"/>
      <c r="I76" s="2"/>
      <c r="J76" s="2"/>
      <c r="K76" s="2"/>
      <c r="L76" s="23"/>
    </row>
    <row r="77" spans="1:12" customFormat="1" ht="15" customHeight="1" x14ac:dyDescent="0.35">
      <c r="A77" s="17">
        <v>4</v>
      </c>
      <c r="B77" s="520">
        <v>7.8677309007981755E-2</v>
      </c>
      <c r="C77" s="520">
        <v>7.1835803876852913E-2</v>
      </c>
      <c r="D77" s="520">
        <v>5.2451539338654506E-2</v>
      </c>
      <c r="E77" s="520">
        <v>5.7012542759407071E-2</v>
      </c>
      <c r="F77" s="521">
        <v>5.3530751708428248E-2</v>
      </c>
      <c r="G77" s="2"/>
      <c r="H77" s="2"/>
      <c r="I77" s="2"/>
      <c r="J77" s="2"/>
      <c r="K77" s="2"/>
      <c r="L77" s="23"/>
    </row>
    <row r="78" spans="1:12" customFormat="1" ht="15" customHeight="1" x14ac:dyDescent="0.35">
      <c r="A78" s="17">
        <v>5</v>
      </c>
      <c r="B78" s="520">
        <v>1.1402508551881414E-3</v>
      </c>
      <c r="C78" s="520">
        <v>1.1402508551881414E-3</v>
      </c>
      <c r="D78" s="520">
        <v>1.1402508551881414E-3</v>
      </c>
      <c r="E78" s="520">
        <v>1.1402508551881414E-3</v>
      </c>
      <c r="F78" s="521">
        <v>1.1389521640091116E-3</v>
      </c>
      <c r="G78" s="2"/>
      <c r="H78" s="2"/>
      <c r="I78" s="2"/>
      <c r="J78" s="2"/>
      <c r="K78" s="2"/>
      <c r="L78" s="23"/>
    </row>
    <row r="79" spans="1:12" customFormat="1" ht="15" customHeight="1" thickBot="1" x14ac:dyDescent="0.4">
      <c r="A79" s="18">
        <v>6</v>
      </c>
      <c r="B79" s="522">
        <v>7.5256556442417327E-2</v>
      </c>
      <c r="C79" s="522">
        <v>2.2805017103762829E-3</v>
      </c>
      <c r="D79" s="522">
        <v>4.5610034207525657E-3</v>
      </c>
      <c r="E79" s="522">
        <v>4.5610034207525657E-3</v>
      </c>
      <c r="F79" s="523">
        <v>1.1389521640091116E-3</v>
      </c>
      <c r="G79" s="2"/>
      <c r="H79" s="2"/>
      <c r="I79" s="2"/>
      <c r="J79" s="2"/>
      <c r="K79" s="2"/>
      <c r="L79" s="23"/>
    </row>
    <row r="80" spans="1:12" customFormat="1" ht="4.5" customHeight="1" thickBot="1" x14ac:dyDescent="0.4">
      <c r="B80" s="24"/>
      <c r="C80" s="24"/>
      <c r="D80" s="24"/>
      <c r="E80" s="24"/>
      <c r="F80" s="24"/>
      <c r="G80" s="2"/>
      <c r="H80" s="2"/>
      <c r="I80" s="2"/>
      <c r="J80" s="2"/>
      <c r="K80" s="2"/>
    </row>
    <row r="81" spans="1:11" customFormat="1" ht="15" customHeight="1" thickBot="1" x14ac:dyDescent="0.4">
      <c r="A81" s="33" t="s">
        <v>1</v>
      </c>
      <c r="B81" s="34">
        <f>SUM(B74:B79)</f>
        <v>1</v>
      </c>
      <c r="C81" s="34">
        <f>SUM(C74:C79)</f>
        <v>1</v>
      </c>
      <c r="D81" s="34">
        <f>SUM(D74:D79)</f>
        <v>1</v>
      </c>
      <c r="E81" s="34">
        <f>SUM(E74:E79)</f>
        <v>0.99999999999999989</v>
      </c>
      <c r="F81" s="35">
        <f>SUM(F74:F79)</f>
        <v>1</v>
      </c>
      <c r="G81" s="2"/>
      <c r="H81" s="2"/>
      <c r="I81" s="2"/>
      <c r="J81" s="2"/>
      <c r="K81" s="2"/>
    </row>
    <row r="82" spans="1:11" ht="20.25" customHeight="1" x14ac:dyDescent="0.35">
      <c r="A82" s="188" t="s">
        <v>236</v>
      </c>
      <c r="B82" s="524"/>
      <c r="C82" s="37"/>
      <c r="D82" s="37"/>
      <c r="E82" s="37"/>
      <c r="F82" s="37"/>
      <c r="G82" s="2"/>
      <c r="H82" s="2"/>
      <c r="I82" s="2"/>
      <c r="J82" s="2"/>
      <c r="K82" s="2"/>
    </row>
    <row r="83" spans="1:11" ht="13.15" x14ac:dyDescent="0.35">
      <c r="A83" s="188"/>
      <c r="B83" s="524"/>
      <c r="C83" s="37"/>
      <c r="D83" s="37"/>
      <c r="E83" s="37"/>
      <c r="F83" s="37"/>
      <c r="G83" s="2"/>
      <c r="H83" s="2"/>
      <c r="I83" s="2"/>
      <c r="J83" s="2"/>
      <c r="K83" s="2"/>
    </row>
    <row r="84" spans="1:11" ht="20.25" customHeight="1" x14ac:dyDescent="0.35">
      <c r="A84" s="218" t="s">
        <v>117</v>
      </c>
      <c r="B84" s="22"/>
    </row>
    <row r="85" spans="1:11" ht="5.25" customHeight="1" thickBot="1" x14ac:dyDescent="0.4">
      <c r="A85" s="15"/>
      <c r="B85" s="22"/>
    </row>
    <row r="86" spans="1:11" s="2" customFormat="1" ht="33" customHeight="1" thickBot="1" x14ac:dyDescent="0.4">
      <c r="A86" s="219" t="s">
        <v>23</v>
      </c>
      <c r="B86" s="220"/>
      <c r="C86" s="221"/>
      <c r="D86" s="221"/>
      <c r="E86" s="221"/>
      <c r="F86" s="36">
        <f>F70</f>
        <v>876</v>
      </c>
    </row>
    <row r="87" spans="1:11" ht="5.25" customHeight="1" thickBot="1" x14ac:dyDescent="0.4">
      <c r="G87" s="2"/>
      <c r="H87" s="2"/>
      <c r="I87" s="2"/>
      <c r="J87" s="2"/>
      <c r="K87" s="2"/>
    </row>
    <row r="88" spans="1:11" customFormat="1" ht="18.75" customHeight="1" x14ac:dyDescent="0.35">
      <c r="A88" s="605" t="s">
        <v>3</v>
      </c>
      <c r="B88" s="30" t="s">
        <v>0</v>
      </c>
      <c r="C88" s="30"/>
      <c r="D88" s="30"/>
      <c r="E88" s="30"/>
      <c r="F88" s="29"/>
      <c r="G88" s="2"/>
      <c r="H88" s="2"/>
      <c r="I88" s="2"/>
      <c r="J88" s="2"/>
      <c r="K88" s="2"/>
    </row>
    <row r="89" spans="1:11" customFormat="1" ht="18.75" customHeight="1" x14ac:dyDescent="0.35">
      <c r="A89" s="606"/>
      <c r="B89" s="31">
        <v>0</v>
      </c>
      <c r="C89" s="31">
        <v>1</v>
      </c>
      <c r="D89" s="31">
        <v>2</v>
      </c>
      <c r="E89" s="31">
        <v>3</v>
      </c>
      <c r="F89" s="32">
        <v>4</v>
      </c>
      <c r="G89" s="2"/>
      <c r="H89" s="2"/>
      <c r="I89" s="2"/>
      <c r="J89" s="2"/>
      <c r="K89" s="2"/>
    </row>
    <row r="90" spans="1:11" customFormat="1" ht="15" customHeight="1" x14ac:dyDescent="0.35">
      <c r="A90" s="17">
        <v>1</v>
      </c>
      <c r="B90" s="520">
        <v>0.49372862029646525</v>
      </c>
      <c r="C90" s="520">
        <v>0.54161915621436718</v>
      </c>
      <c r="D90" s="520">
        <v>0.53591790193842648</v>
      </c>
      <c r="E90" s="520">
        <v>0.54047890535917897</v>
      </c>
      <c r="F90" s="521">
        <v>0.55808656036446469</v>
      </c>
      <c r="G90" s="43"/>
      <c r="H90" s="43"/>
      <c r="I90" s="43"/>
      <c r="J90" s="43"/>
      <c r="K90" s="2"/>
    </row>
    <row r="91" spans="1:11" customFormat="1" ht="15" customHeight="1" x14ac:dyDescent="0.35">
      <c r="A91" s="17">
        <v>2</v>
      </c>
      <c r="B91" s="520">
        <v>0.27023945267958949</v>
      </c>
      <c r="C91" s="520">
        <v>0.27594070695553019</v>
      </c>
      <c r="D91" s="520">
        <v>0.31812998859749148</v>
      </c>
      <c r="E91" s="520">
        <v>0.30444697833523376</v>
      </c>
      <c r="F91" s="521">
        <v>0.29384965831435078</v>
      </c>
      <c r="G91" s="2"/>
      <c r="H91" s="2"/>
      <c r="I91" s="2"/>
      <c r="J91" s="2"/>
      <c r="K91" s="2"/>
    </row>
    <row r="92" spans="1:11" customFormat="1" ht="15" customHeight="1" x14ac:dyDescent="0.35">
      <c r="A92" s="17">
        <v>3</v>
      </c>
      <c r="B92" s="520">
        <v>8.0957810718358045E-2</v>
      </c>
      <c r="C92" s="520">
        <v>0.10718358038768529</v>
      </c>
      <c r="D92" s="520">
        <v>8.7799315849486886E-2</v>
      </c>
      <c r="E92" s="520">
        <v>9.2360319270239452E-2</v>
      </c>
      <c r="F92" s="521">
        <v>9.2255125284738046E-2</v>
      </c>
      <c r="G92" s="2"/>
      <c r="H92" s="2"/>
      <c r="I92" s="2"/>
      <c r="J92" s="2"/>
      <c r="K92" s="2"/>
    </row>
    <row r="93" spans="1:11" customFormat="1" ht="15" customHeight="1" x14ac:dyDescent="0.35">
      <c r="A93" s="17">
        <v>4</v>
      </c>
      <c r="B93" s="520">
        <v>7.8677309007981755E-2</v>
      </c>
      <c r="C93" s="520">
        <v>7.1835803876852913E-2</v>
      </c>
      <c r="D93" s="520">
        <v>5.2451539338654506E-2</v>
      </c>
      <c r="E93" s="520">
        <v>5.7012542759407071E-2</v>
      </c>
      <c r="F93" s="521">
        <v>5.3530751708428248E-2</v>
      </c>
      <c r="G93" s="2"/>
      <c r="H93" s="2"/>
      <c r="I93" s="2"/>
      <c r="J93" s="2"/>
      <c r="K93" s="2"/>
    </row>
    <row r="94" spans="1:11" customFormat="1" ht="15" customHeight="1" x14ac:dyDescent="0.35">
      <c r="A94" s="17">
        <v>5</v>
      </c>
      <c r="B94" s="520">
        <v>1.1402508551881414E-3</v>
      </c>
      <c r="C94" s="520">
        <v>1.1402508551881414E-3</v>
      </c>
      <c r="D94" s="520">
        <v>1.1402508551881414E-3</v>
      </c>
      <c r="E94" s="520">
        <v>1.1402508551881414E-3</v>
      </c>
      <c r="F94" s="521">
        <v>1.1389521640091116E-3</v>
      </c>
      <c r="G94" s="2"/>
      <c r="H94" s="2"/>
      <c r="I94" s="2"/>
      <c r="J94" s="2"/>
      <c r="K94" s="2"/>
    </row>
    <row r="95" spans="1:11" customFormat="1" ht="15" customHeight="1" thickBot="1" x14ac:dyDescent="0.4">
      <c r="A95" s="18">
        <v>6</v>
      </c>
      <c r="B95" s="522">
        <v>7.5256556442417327E-2</v>
      </c>
      <c r="C95" s="522">
        <v>2.2805017103762829E-3</v>
      </c>
      <c r="D95" s="522">
        <v>4.5610034207525657E-3</v>
      </c>
      <c r="E95" s="522">
        <v>4.5610034207525657E-3</v>
      </c>
      <c r="F95" s="523">
        <v>1.1389521640091116E-3</v>
      </c>
      <c r="G95" s="2"/>
      <c r="H95" s="2"/>
      <c r="I95" s="2"/>
      <c r="J95" s="2"/>
      <c r="K95" s="2"/>
    </row>
    <row r="96" spans="1:11" customFormat="1" ht="5.25" customHeight="1" thickBot="1" x14ac:dyDescent="0.4">
      <c r="B96" s="24"/>
      <c r="C96" s="24"/>
      <c r="D96" s="24"/>
      <c r="E96" s="24"/>
      <c r="F96" s="24"/>
      <c r="G96" s="2"/>
      <c r="H96" s="2"/>
      <c r="I96" s="2"/>
      <c r="J96" s="2"/>
      <c r="K96" s="2"/>
    </row>
    <row r="97" spans="1:16" customFormat="1" ht="15" customHeight="1" thickBot="1" x14ac:dyDescent="0.4">
      <c r="A97" s="33" t="s">
        <v>1</v>
      </c>
      <c r="B97" s="34">
        <f>SUM(B90:B95)</f>
        <v>1</v>
      </c>
      <c r="C97" s="34">
        <f>SUM(C90:C95)</f>
        <v>1</v>
      </c>
      <c r="D97" s="34">
        <f>SUM(D90:D95)</f>
        <v>1</v>
      </c>
      <c r="E97" s="34">
        <f>SUM(E90:E95)</f>
        <v>0.99999999999999989</v>
      </c>
      <c r="F97" s="35">
        <f>SUM(F90:F95)</f>
        <v>1</v>
      </c>
      <c r="G97" s="2"/>
      <c r="H97" s="2"/>
      <c r="I97" s="2"/>
      <c r="J97" s="2"/>
      <c r="K97" s="2"/>
    </row>
    <row r="98" spans="1:16" ht="13.15" x14ac:dyDescent="0.35">
      <c r="A98" s="188" t="s">
        <v>236</v>
      </c>
      <c r="B98" s="189"/>
      <c r="G98" s="2"/>
      <c r="H98" s="2"/>
      <c r="I98" s="2"/>
      <c r="J98" s="2"/>
      <c r="K98" s="2"/>
    </row>
    <row r="99" spans="1:16" x14ac:dyDescent="0.35">
      <c r="A99" s="188"/>
      <c r="B99" s="22"/>
    </row>
    <row r="100" spans="1:16" x14ac:dyDescent="0.35">
      <c r="A100" s="15"/>
      <c r="B100" s="14"/>
    </row>
    <row r="101" spans="1:16" s="2" customFormat="1" ht="20.25" customHeight="1" x14ac:dyDescent="0.35">
      <c r="A101" s="5" t="s">
        <v>21</v>
      </c>
      <c r="B101" s="5"/>
      <c r="K101" s="1"/>
    </row>
    <row r="102" spans="1:16" ht="5.25" customHeight="1" thickBot="1" x14ac:dyDescent="0.4">
      <c r="C102" s="294"/>
      <c r="D102" s="294"/>
      <c r="E102" s="294"/>
      <c r="F102" s="294"/>
      <c r="G102" s="294"/>
      <c r="H102" s="294"/>
      <c r="I102" s="294"/>
    </row>
    <row r="103" spans="1:16" s="2" customFormat="1" ht="20.25" customHeight="1" x14ac:dyDescent="0.35">
      <c r="A103" s="605" t="s">
        <v>48</v>
      </c>
      <c r="B103" s="601" t="s">
        <v>94</v>
      </c>
      <c r="C103" s="30" t="s">
        <v>3</v>
      </c>
      <c r="D103" s="30"/>
      <c r="E103" s="30"/>
      <c r="F103" s="30"/>
      <c r="G103" s="30"/>
      <c r="H103" s="30"/>
      <c r="I103" s="29"/>
    </row>
    <row r="104" spans="1:16" s="2" customFormat="1" ht="20.25" customHeight="1" x14ac:dyDescent="0.35">
      <c r="A104" s="606"/>
      <c r="B104" s="602"/>
      <c r="C104" s="31">
        <v>1</v>
      </c>
      <c r="D104" s="31">
        <v>2</v>
      </c>
      <c r="E104" s="31">
        <v>3</v>
      </c>
      <c r="F104" s="31">
        <v>4</v>
      </c>
      <c r="G104" s="31">
        <v>5</v>
      </c>
      <c r="H104" s="31">
        <v>6</v>
      </c>
      <c r="I104" s="32" t="s">
        <v>4</v>
      </c>
    </row>
    <row r="105" spans="1:16" ht="15" customHeight="1" x14ac:dyDescent="0.35">
      <c r="A105" s="460" t="s">
        <v>47</v>
      </c>
      <c r="B105" s="465" t="s">
        <v>204</v>
      </c>
      <c r="C105" s="504">
        <v>20173.34613132969</v>
      </c>
      <c r="D105" s="504">
        <v>18801.387176729582</v>
      </c>
      <c r="E105" s="504">
        <v>35141.623963431666</v>
      </c>
      <c r="F105" s="504"/>
      <c r="G105" s="504"/>
      <c r="H105" s="504"/>
      <c r="I105" s="499">
        <f>SUM(C105:H105)</f>
        <v>74116.357271490939</v>
      </c>
      <c r="K105" s="294"/>
      <c r="L105" s="294"/>
      <c r="M105" s="294"/>
      <c r="N105" s="294"/>
      <c r="O105" s="294"/>
      <c r="P105" s="294"/>
    </row>
    <row r="106" spans="1:16" ht="15" customHeight="1" x14ac:dyDescent="0.35">
      <c r="A106" s="461" t="s">
        <v>47</v>
      </c>
      <c r="B106" s="462" t="s">
        <v>205</v>
      </c>
      <c r="C106" s="505">
        <f>($C$105*$C$134+$D$105*$C$135+$E$105*$C$136)</f>
        <v>8196.969624503361</v>
      </c>
      <c r="D106" s="506">
        <f>$C$105*$D$134+$D$105*$D$135+$E$105*$D$136</f>
        <v>9994.1791177839314</v>
      </c>
      <c r="E106" s="506">
        <f>$C$105*$E$134+$D$105*$E$135+$E$105*$E$136</f>
        <v>8232.8688032958689</v>
      </c>
      <c r="F106" s="506">
        <f>$C$105*$F$134+$D$105*$F$135+$E$105*$F$136</f>
        <v>9024.2483968790912</v>
      </c>
      <c r="G106" s="506">
        <f>$C$105*$G$134+$D$105*$G$135+$E$105*$G$136</f>
        <v>3526.4673655970219</v>
      </c>
      <c r="H106" s="506">
        <f>$C$105*$H$134+$D$105*$H$135+$E$105*$H$136</f>
        <v>35141.623963431666</v>
      </c>
      <c r="I106" s="500">
        <f t="shared" ref="I106:I111" si="0">SUM(C106:H106)</f>
        <v>74116.357271490939</v>
      </c>
      <c r="K106" s="294"/>
      <c r="L106" s="294"/>
      <c r="M106" s="294"/>
      <c r="N106" s="294"/>
      <c r="O106" s="294"/>
      <c r="P106" s="294"/>
    </row>
    <row r="107" spans="1:16" ht="15" customHeight="1" x14ac:dyDescent="0.35">
      <c r="A107" s="6" t="s">
        <v>47</v>
      </c>
      <c r="B107" s="186" t="s">
        <v>96</v>
      </c>
      <c r="C107" s="507">
        <v>4144.2287249037536</v>
      </c>
      <c r="D107" s="508">
        <v>4703.8076941440022</v>
      </c>
      <c r="E107" s="508">
        <v>4335.9683168616439</v>
      </c>
      <c r="F107" s="508">
        <v>4740.1343107881903</v>
      </c>
      <c r="G107" s="508">
        <v>1822.8612626004949</v>
      </c>
      <c r="H107" s="508">
        <v>14850.350974635605</v>
      </c>
      <c r="I107" s="501">
        <f t="shared" si="0"/>
        <v>34597.351283933691</v>
      </c>
      <c r="K107" s="294"/>
      <c r="L107" s="294"/>
      <c r="M107" s="294"/>
      <c r="N107" s="294"/>
      <c r="O107" s="294"/>
      <c r="P107" s="294"/>
    </row>
    <row r="108" spans="1:16" ht="15" customHeight="1" x14ac:dyDescent="0.35">
      <c r="A108" s="6" t="s">
        <v>34</v>
      </c>
      <c r="B108" s="186" t="s">
        <v>97</v>
      </c>
      <c r="C108" s="507">
        <v>6848.1569507509321</v>
      </c>
      <c r="D108" s="508">
        <v>8450.4214268585856</v>
      </c>
      <c r="E108" s="508">
        <v>8087.7091897386163</v>
      </c>
      <c r="F108" s="508">
        <v>9053.3710894941796</v>
      </c>
      <c r="G108" s="508">
        <v>3705.6076478805639</v>
      </c>
      <c r="H108" s="508">
        <v>31509.839920459679</v>
      </c>
      <c r="I108" s="501">
        <f t="shared" si="0"/>
        <v>67655.106225182564</v>
      </c>
      <c r="K108" s="294"/>
      <c r="L108" s="294"/>
      <c r="M108" s="294"/>
      <c r="N108" s="294"/>
      <c r="O108" s="294"/>
      <c r="P108" s="294"/>
    </row>
    <row r="109" spans="1:16" ht="15" customHeight="1" x14ac:dyDescent="0.35">
      <c r="A109" s="6" t="s">
        <v>35</v>
      </c>
      <c r="B109" s="186" t="s">
        <v>98</v>
      </c>
      <c r="C109" s="507">
        <v>2011.3342901966935</v>
      </c>
      <c r="D109" s="508">
        <v>2666.2988905841139</v>
      </c>
      <c r="E109" s="508">
        <v>2472.568832657128</v>
      </c>
      <c r="F109" s="508">
        <v>2827.6726651716658</v>
      </c>
      <c r="G109" s="508">
        <v>1222.5883079063608</v>
      </c>
      <c r="H109" s="508">
        <v>11081.705909274879</v>
      </c>
      <c r="I109" s="502">
        <f t="shared" si="0"/>
        <v>22282.168895790841</v>
      </c>
      <c r="K109" s="294"/>
      <c r="L109" s="294"/>
      <c r="M109" s="294"/>
      <c r="N109" s="294"/>
      <c r="O109" s="294"/>
      <c r="P109" s="294"/>
    </row>
    <row r="110" spans="1:16" ht="15" customHeight="1" x14ac:dyDescent="0.35">
      <c r="A110" s="6" t="s">
        <v>36</v>
      </c>
      <c r="B110" s="186" t="s">
        <v>99</v>
      </c>
      <c r="C110" s="507">
        <v>804.28434440025114</v>
      </c>
      <c r="D110" s="508">
        <v>1090.0329098785271</v>
      </c>
      <c r="E110" s="508">
        <v>1055.6360161004247</v>
      </c>
      <c r="F110" s="508">
        <v>1216.8293768650456</v>
      </c>
      <c r="G110" s="508">
        <v>531.4207504618031</v>
      </c>
      <c r="H110" s="508">
        <v>5495.0299619757707</v>
      </c>
      <c r="I110" s="502">
        <f t="shared" si="0"/>
        <v>10193.233359681823</v>
      </c>
      <c r="K110" s="294"/>
      <c r="L110" s="294"/>
      <c r="M110" s="294"/>
      <c r="N110" s="294"/>
      <c r="O110" s="294"/>
      <c r="P110" s="294"/>
    </row>
    <row r="111" spans="1:16" ht="15" customHeight="1" thickBot="1" x14ac:dyDescent="0.4">
      <c r="A111" s="44" t="s">
        <v>37</v>
      </c>
      <c r="B111" s="187" t="s">
        <v>100</v>
      </c>
      <c r="C111" s="509">
        <v>1404.9883754370421</v>
      </c>
      <c r="D111" s="510">
        <v>1897.6863957018711</v>
      </c>
      <c r="E111" s="510">
        <v>1842.6849653404777</v>
      </c>
      <c r="F111" s="510">
        <v>2139.388699542762</v>
      </c>
      <c r="G111" s="510">
        <v>990.4936198667516</v>
      </c>
      <c r="H111" s="510">
        <v>10383.261226178467</v>
      </c>
      <c r="I111" s="503">
        <f t="shared" si="0"/>
        <v>18658.503282067373</v>
      </c>
      <c r="K111" s="294"/>
      <c r="L111" s="294"/>
      <c r="M111" s="294"/>
      <c r="N111" s="294"/>
      <c r="O111" s="294"/>
      <c r="P111" s="294"/>
    </row>
    <row r="112" spans="1:16" ht="8.25" customHeight="1" thickBot="1" x14ac:dyDescent="0.4">
      <c r="C112" s="398"/>
      <c r="D112" s="300"/>
      <c r="E112" s="300"/>
      <c r="F112" s="300"/>
      <c r="G112" s="300"/>
      <c r="H112" s="300"/>
      <c r="I112" s="300"/>
    </row>
    <row r="113" spans="1:16" ht="19.5" customHeight="1" thickBot="1" x14ac:dyDescent="0.4">
      <c r="A113" s="33" t="s">
        <v>1</v>
      </c>
      <c r="B113" s="47"/>
      <c r="C113" s="399">
        <f>SUM(C106:C111)</f>
        <v>23409.96231019203</v>
      </c>
      <c r="D113" s="399">
        <f t="shared" ref="D113:I113" si="1">SUM(D106:D111)</f>
        <v>28802.42643495103</v>
      </c>
      <c r="E113" s="399">
        <f>SUM(E106:E111)</f>
        <v>26027.436123994161</v>
      </c>
      <c r="F113" s="399">
        <f t="shared" si="1"/>
        <v>29001.644538740933</v>
      </c>
      <c r="G113" s="399">
        <f t="shared" si="1"/>
        <v>11799.438954312995</v>
      </c>
      <c r="H113" s="399">
        <f t="shared" si="1"/>
        <v>108461.81195595607</v>
      </c>
      <c r="I113" s="400">
        <f t="shared" si="1"/>
        <v>227502.72031814721</v>
      </c>
    </row>
    <row r="114" spans="1:16" x14ac:dyDescent="0.35">
      <c r="A114" s="188" t="s">
        <v>237</v>
      </c>
      <c r="I114" s="39"/>
    </row>
    <row r="115" spans="1:16" x14ac:dyDescent="0.35">
      <c r="A115" s="15"/>
      <c r="I115" s="39"/>
    </row>
    <row r="116" spans="1:16" s="2" customFormat="1" ht="15" customHeight="1" x14ac:dyDescent="0.35">
      <c r="A116" s="5" t="s">
        <v>22</v>
      </c>
      <c r="B116" s="5"/>
      <c r="I116" s="11"/>
      <c r="J116" s="11"/>
      <c r="K116" s="11"/>
      <c r="L116" s="11"/>
      <c r="M116" s="11"/>
      <c r="N116" s="11"/>
    </row>
    <row r="117" spans="1:16" ht="5.25" customHeight="1" thickBot="1" x14ac:dyDescent="0.4">
      <c r="I117" s="2"/>
    </row>
    <row r="118" spans="1:16" s="2" customFormat="1" ht="20.25" customHeight="1" x14ac:dyDescent="0.35">
      <c r="A118" s="605" t="s">
        <v>48</v>
      </c>
      <c r="B118" s="601" t="s">
        <v>94</v>
      </c>
      <c r="C118" s="30" t="s">
        <v>3</v>
      </c>
      <c r="D118" s="30"/>
      <c r="E118" s="30"/>
      <c r="F118" s="30"/>
      <c r="G118" s="30"/>
      <c r="H118" s="29"/>
    </row>
    <row r="119" spans="1:16" s="2" customFormat="1" ht="20.25" customHeight="1" x14ac:dyDescent="0.35">
      <c r="A119" s="606"/>
      <c r="B119" s="602"/>
      <c r="C119" s="31">
        <v>1</v>
      </c>
      <c r="D119" s="31">
        <v>2</v>
      </c>
      <c r="E119" s="31">
        <v>3</v>
      </c>
      <c r="F119" s="31">
        <v>4</v>
      </c>
      <c r="G119" s="31">
        <v>5</v>
      </c>
      <c r="H119" s="32">
        <v>6</v>
      </c>
    </row>
    <row r="120" spans="1:16" ht="15" customHeight="1" x14ac:dyDescent="0.35">
      <c r="A120" s="6" t="s">
        <v>47</v>
      </c>
      <c r="B120" s="185" t="s">
        <v>95</v>
      </c>
      <c r="C120" s="511">
        <v>128754.88135484552</v>
      </c>
      <c r="D120" s="511">
        <f>$C120</f>
        <v>128754.88135484552</v>
      </c>
      <c r="E120" s="511">
        <f t="shared" ref="E120:G120" si="2">$C120</f>
        <v>128754.88135484552</v>
      </c>
      <c r="F120" s="511">
        <f t="shared" si="2"/>
        <v>128754.88135484552</v>
      </c>
      <c r="G120" s="511">
        <f t="shared" si="2"/>
        <v>128754.88135484552</v>
      </c>
      <c r="H120" s="512">
        <v>128837.59156083535</v>
      </c>
      <c r="K120" s="294"/>
      <c r="L120" s="294"/>
      <c r="M120" s="294"/>
      <c r="N120" s="294"/>
      <c r="O120" s="294"/>
      <c r="P120" s="294"/>
    </row>
    <row r="121" spans="1:16" ht="15" customHeight="1" x14ac:dyDescent="0.35">
      <c r="A121" s="6" t="s">
        <v>47</v>
      </c>
      <c r="B121" s="186" t="s">
        <v>96</v>
      </c>
      <c r="C121" s="511">
        <v>20115.659859147705</v>
      </c>
      <c r="D121" s="511">
        <v>21148.551810575475</v>
      </c>
      <c r="E121" s="511">
        <v>21221.150604834533</v>
      </c>
      <c r="F121" s="511">
        <v>21240.773375076697</v>
      </c>
      <c r="G121" s="511">
        <v>21251.214770694718</v>
      </c>
      <c r="H121" s="513">
        <v>26124.880767146882</v>
      </c>
      <c r="K121" s="294"/>
      <c r="L121" s="294"/>
      <c r="M121" s="294"/>
      <c r="N121" s="294"/>
      <c r="O121" s="294"/>
      <c r="P121" s="294"/>
    </row>
    <row r="122" spans="1:16" ht="15" customHeight="1" x14ac:dyDescent="0.35">
      <c r="A122" s="6" t="s">
        <v>34</v>
      </c>
      <c r="B122" s="186" t="s">
        <v>97</v>
      </c>
      <c r="C122" s="511">
        <v>18883.095266940098</v>
      </c>
      <c r="D122" s="511">
        <v>19482.787279381508</v>
      </c>
      <c r="E122" s="511">
        <v>19866.940022960142</v>
      </c>
      <c r="F122" s="511">
        <v>20046.330217362225</v>
      </c>
      <c r="G122" s="511">
        <v>20126.417100620922</v>
      </c>
      <c r="H122" s="513">
        <v>28361.646541117618</v>
      </c>
      <c r="K122" s="294"/>
      <c r="L122" s="294"/>
      <c r="M122" s="294"/>
      <c r="N122" s="294"/>
      <c r="O122" s="294"/>
      <c r="P122" s="294"/>
    </row>
    <row r="123" spans="1:16" ht="15" customHeight="1" x14ac:dyDescent="0.35">
      <c r="A123" s="6" t="s">
        <v>35</v>
      </c>
      <c r="B123" s="186" t="s">
        <v>98</v>
      </c>
      <c r="C123" s="511">
        <v>4771.4171674848667</v>
      </c>
      <c r="D123" s="511">
        <v>4914.2590407278349</v>
      </c>
      <c r="E123" s="511">
        <v>5053.6301855593747</v>
      </c>
      <c r="F123" s="511">
        <v>5100.440776483726</v>
      </c>
      <c r="G123" s="511">
        <v>5100.8687764837259</v>
      </c>
      <c r="H123" s="513">
        <v>6536.4599387553571</v>
      </c>
      <c r="K123" s="294"/>
      <c r="L123" s="294"/>
      <c r="M123" s="294"/>
      <c r="N123" s="294"/>
      <c r="O123" s="294"/>
      <c r="P123" s="294"/>
    </row>
    <row r="124" spans="1:16" ht="15" customHeight="1" x14ac:dyDescent="0.35">
      <c r="A124" s="6" t="s">
        <v>36</v>
      </c>
      <c r="B124" s="186" t="s">
        <v>99</v>
      </c>
      <c r="C124" s="511">
        <v>2083.5330052710651</v>
      </c>
      <c r="D124" s="511">
        <v>2141.0306642504111</v>
      </c>
      <c r="E124" s="511">
        <v>2297.3472021746779</v>
      </c>
      <c r="F124" s="511">
        <v>2314.9415935380935</v>
      </c>
      <c r="G124" s="511">
        <v>2320.2008437749619</v>
      </c>
      <c r="H124" s="513">
        <v>2826.5052799953064</v>
      </c>
      <c r="K124" s="294"/>
      <c r="L124" s="294"/>
      <c r="M124" s="294"/>
      <c r="N124" s="294"/>
      <c r="O124" s="294"/>
      <c r="P124" s="294"/>
    </row>
    <row r="125" spans="1:16" ht="15" customHeight="1" thickBot="1" x14ac:dyDescent="0.4">
      <c r="A125" s="44" t="s">
        <v>37</v>
      </c>
      <c r="B125" s="187" t="s">
        <v>100</v>
      </c>
      <c r="C125" s="514">
        <v>3946.852385670963</v>
      </c>
      <c r="D125" s="514">
        <v>4097.715222405478</v>
      </c>
      <c r="E125" s="514">
        <v>4507.4869977831022</v>
      </c>
      <c r="F125" s="514">
        <v>4527.5501759345561</v>
      </c>
      <c r="G125" s="514">
        <v>4529.9595336462444</v>
      </c>
      <c r="H125" s="515">
        <v>5887.2150177956855</v>
      </c>
      <c r="K125" s="294"/>
      <c r="L125" s="294"/>
      <c r="M125" s="294"/>
      <c r="N125" s="294"/>
      <c r="O125" s="294"/>
      <c r="P125" s="294"/>
    </row>
    <row r="126" spans="1:16" ht="5.25" customHeight="1" thickBot="1" x14ac:dyDescent="0.4">
      <c r="C126" s="516"/>
      <c r="D126" s="517"/>
      <c r="E126" s="517"/>
      <c r="F126" s="517"/>
      <c r="G126" s="517"/>
      <c r="H126" s="517"/>
    </row>
    <row r="127" spans="1:16" ht="15" customHeight="1" thickBot="1" x14ac:dyDescent="0.4">
      <c r="A127" s="33" t="s">
        <v>1</v>
      </c>
      <c r="B127" s="47"/>
      <c r="C127" s="518">
        <f>SUM(C120:C126)</f>
        <v>178555.43903936024</v>
      </c>
      <c r="D127" s="518">
        <f t="shared" ref="D127:H127" si="3">SUM(D120:D126)</f>
        <v>180539.22537218622</v>
      </c>
      <c r="E127" s="518">
        <f t="shared" si="3"/>
        <v>181701.43636815733</v>
      </c>
      <c r="F127" s="518">
        <f t="shared" si="3"/>
        <v>181984.91749324085</v>
      </c>
      <c r="G127" s="518">
        <f t="shared" si="3"/>
        <v>182083.54238006609</v>
      </c>
      <c r="H127" s="519">
        <f t="shared" si="3"/>
        <v>198574.29910564621</v>
      </c>
    </row>
    <row r="128" spans="1:16" x14ac:dyDescent="0.35">
      <c r="A128" s="188" t="s">
        <v>237</v>
      </c>
      <c r="B128" s="16"/>
      <c r="C128" s="12"/>
      <c r="D128" s="12"/>
      <c r="E128" s="12"/>
      <c r="F128" s="12"/>
      <c r="G128" s="12"/>
      <c r="H128" s="12"/>
    </row>
    <row r="129" spans="1:8" x14ac:dyDescent="0.35">
      <c r="A129" s="188"/>
      <c r="B129" s="14"/>
      <c r="C129" s="294"/>
      <c r="D129" s="294"/>
      <c r="E129" s="294"/>
      <c r="F129" s="294"/>
      <c r="G129" s="294"/>
      <c r="H129" s="294"/>
    </row>
    <row r="130" spans="1:8" ht="15" x14ac:dyDescent="0.35">
      <c r="A130" s="5" t="s">
        <v>207</v>
      </c>
      <c r="B130" s="5"/>
      <c r="C130" s="2"/>
      <c r="D130" s="2"/>
      <c r="E130" s="2"/>
      <c r="F130" s="2"/>
      <c r="G130" s="2"/>
      <c r="H130" s="2"/>
    </row>
    <row r="131" spans="1:8" ht="5.25" customHeight="1" thickBot="1" x14ac:dyDescent="0.4">
      <c r="A131" s="5"/>
      <c r="B131" s="5"/>
      <c r="C131" s="2"/>
      <c r="D131" s="2"/>
      <c r="E131" s="2"/>
      <c r="F131" s="2"/>
      <c r="G131" s="2"/>
      <c r="H131" s="2"/>
    </row>
    <row r="132" spans="1:8" ht="13.15" x14ac:dyDescent="0.35">
      <c r="A132" s="603" t="s">
        <v>135</v>
      </c>
      <c r="B132" s="607" t="s">
        <v>136</v>
      </c>
      <c r="C132" s="30" t="s">
        <v>3</v>
      </c>
      <c r="D132" s="30"/>
      <c r="E132" s="30"/>
      <c r="F132" s="30"/>
      <c r="G132" s="30"/>
      <c r="H132" s="29"/>
    </row>
    <row r="133" spans="1:8" ht="13.15" x14ac:dyDescent="0.35">
      <c r="A133" s="604"/>
      <c r="B133" s="608"/>
      <c r="C133" s="31">
        <v>1</v>
      </c>
      <c r="D133" s="31">
        <v>2</v>
      </c>
      <c r="E133" s="31">
        <v>3</v>
      </c>
      <c r="F133" s="31">
        <v>4</v>
      </c>
      <c r="G133" s="31">
        <v>5</v>
      </c>
      <c r="H133" s="32">
        <v>6</v>
      </c>
    </row>
    <row r="134" spans="1:8" ht="15" customHeight="1" x14ac:dyDescent="0.35">
      <c r="A134" s="594" t="s">
        <v>95</v>
      </c>
      <c r="B134" s="298">
        <v>1</v>
      </c>
      <c r="C134" s="296">
        <v>0.36854851890348217</v>
      </c>
      <c r="D134" s="296">
        <v>0.17452412065050649</v>
      </c>
      <c r="E134" s="296">
        <v>0.24459930253279935</v>
      </c>
      <c r="F134" s="296">
        <v>0.21232805791321191</v>
      </c>
      <c r="G134" s="296">
        <v>0</v>
      </c>
      <c r="H134" s="360">
        <v>0</v>
      </c>
    </row>
    <row r="135" spans="1:8" ht="15" customHeight="1" x14ac:dyDescent="0.35">
      <c r="A135" s="595"/>
      <c r="B135" s="299">
        <v>2</v>
      </c>
      <c r="C135" s="297">
        <v>4.0534923264480001E-2</v>
      </c>
      <c r="D135" s="297">
        <v>0.34430670262710622</v>
      </c>
      <c r="E135" s="297">
        <v>0.17543824712585046</v>
      </c>
      <c r="F135" s="297">
        <v>0.25215591523324532</v>
      </c>
      <c r="G135" s="297">
        <v>0.18756421174931812</v>
      </c>
      <c r="H135" s="361">
        <v>0</v>
      </c>
    </row>
    <row r="136" spans="1:8" ht="15" customHeight="1" thickBot="1" x14ac:dyDescent="0.4">
      <c r="A136" s="596"/>
      <c r="B136" s="362">
        <v>3</v>
      </c>
      <c r="C136" s="363">
        <v>0</v>
      </c>
      <c r="D136" s="363">
        <v>0</v>
      </c>
      <c r="E136" s="363">
        <v>0</v>
      </c>
      <c r="F136" s="363">
        <v>0</v>
      </c>
      <c r="G136" s="363">
        <v>0</v>
      </c>
      <c r="H136" s="364">
        <v>1</v>
      </c>
    </row>
    <row r="137" spans="1:8" x14ac:dyDescent="0.35">
      <c r="A137" s="188" t="s">
        <v>234</v>
      </c>
      <c r="B137" s="16"/>
    </row>
    <row r="139" spans="1:8" ht="15" x14ac:dyDescent="0.35">
      <c r="A139" s="5" t="s">
        <v>209</v>
      </c>
      <c r="B139" s="5"/>
      <c r="C139" s="2"/>
      <c r="D139" s="2"/>
      <c r="E139" s="2"/>
      <c r="F139" s="2"/>
      <c r="G139" s="2"/>
      <c r="H139" s="2"/>
    </row>
    <row r="140" spans="1:8" ht="5.25" customHeight="1" thickBot="1" x14ac:dyDescent="0.4">
      <c r="A140" s="5"/>
      <c r="B140" s="5"/>
      <c r="C140" s="2"/>
      <c r="D140" s="2"/>
      <c r="E140" s="2"/>
      <c r="F140" s="2"/>
      <c r="G140" s="2"/>
      <c r="H140" s="2"/>
    </row>
    <row r="141" spans="1:8" ht="13.15" x14ac:dyDescent="0.35">
      <c r="A141" s="603" t="s">
        <v>135</v>
      </c>
      <c r="B141" s="607" t="s">
        <v>136</v>
      </c>
      <c r="C141" s="30" t="s">
        <v>3</v>
      </c>
      <c r="D141" s="30"/>
      <c r="E141" s="30"/>
      <c r="F141" s="30"/>
      <c r="G141" s="30"/>
      <c r="H141" s="29"/>
    </row>
    <row r="142" spans="1:8" ht="13.15" x14ac:dyDescent="0.35">
      <c r="A142" s="604"/>
      <c r="B142" s="608"/>
      <c r="C142" s="31">
        <v>1</v>
      </c>
      <c r="D142" s="31">
        <v>2</v>
      </c>
      <c r="E142" s="31">
        <v>3</v>
      </c>
      <c r="F142" s="31">
        <v>4</v>
      </c>
      <c r="G142" s="31">
        <v>5</v>
      </c>
      <c r="H142" s="32">
        <v>6</v>
      </c>
    </row>
    <row r="143" spans="1:8" ht="15" customHeight="1" x14ac:dyDescent="0.35">
      <c r="A143" s="594" t="s">
        <v>95</v>
      </c>
      <c r="B143" s="298">
        <v>1</v>
      </c>
      <c r="C143" s="296">
        <v>0.90701716605535798</v>
      </c>
      <c r="D143" s="296">
        <v>0.35225725769194821</v>
      </c>
      <c r="E143" s="296">
        <v>0.59932953365706654</v>
      </c>
      <c r="F143" s="296">
        <v>0.4746275450914384</v>
      </c>
      <c r="G143" s="296">
        <v>0</v>
      </c>
      <c r="H143" s="360">
        <v>0</v>
      </c>
    </row>
    <row r="144" spans="1:8" ht="15" customHeight="1" x14ac:dyDescent="0.35">
      <c r="A144" s="595"/>
      <c r="B144" s="299">
        <v>2</v>
      </c>
      <c r="C144" s="297">
        <v>9.2982833944642004E-2</v>
      </c>
      <c r="D144" s="297">
        <v>0.64774274230805173</v>
      </c>
      <c r="E144" s="297">
        <v>0.40067046634293346</v>
      </c>
      <c r="F144" s="297">
        <v>0.52537245490856144</v>
      </c>
      <c r="G144" s="297">
        <v>1</v>
      </c>
      <c r="H144" s="361">
        <v>0</v>
      </c>
    </row>
    <row r="145" spans="1:9" ht="15" customHeight="1" thickBot="1" x14ac:dyDescent="0.4">
      <c r="A145" s="596"/>
      <c r="B145" s="362">
        <v>3</v>
      </c>
      <c r="C145" s="363">
        <v>0</v>
      </c>
      <c r="D145" s="363">
        <v>0</v>
      </c>
      <c r="E145" s="363">
        <v>0</v>
      </c>
      <c r="F145" s="363">
        <v>0</v>
      </c>
      <c r="G145" s="363">
        <v>0</v>
      </c>
      <c r="H145" s="364">
        <v>1</v>
      </c>
    </row>
    <row r="146" spans="1:9" x14ac:dyDescent="0.35">
      <c r="A146" s="188" t="s">
        <v>234</v>
      </c>
      <c r="B146" s="16"/>
    </row>
    <row r="148" spans="1:9" x14ac:dyDescent="0.35">
      <c r="D148" s="301"/>
      <c r="E148" s="301"/>
    </row>
    <row r="149" spans="1:9" x14ac:dyDescent="0.35">
      <c r="C149" s="300"/>
      <c r="D149" s="300"/>
      <c r="E149" s="300"/>
      <c r="F149" s="300"/>
      <c r="G149" s="300"/>
      <c r="H149" s="300"/>
      <c r="I149" s="300"/>
    </row>
    <row r="150" spans="1:9" x14ac:dyDescent="0.35">
      <c r="C150" s="301"/>
    </row>
    <row r="151" spans="1:9" x14ac:dyDescent="0.35">
      <c r="D151" s="302"/>
      <c r="E151" s="302"/>
    </row>
    <row r="152" spans="1:9" x14ac:dyDescent="0.35">
      <c r="D152" s="302"/>
      <c r="E152" s="302"/>
    </row>
    <row r="155" spans="1:9" x14ac:dyDescent="0.35">
      <c r="D155" s="46"/>
      <c r="E155" s="300"/>
    </row>
    <row r="156" spans="1:9" x14ac:dyDescent="0.35">
      <c r="D156" s="46"/>
      <c r="E156" s="300"/>
    </row>
    <row r="157" spans="1:9" x14ac:dyDescent="0.35">
      <c r="D157" s="46"/>
      <c r="E157" s="300"/>
    </row>
    <row r="158" spans="1:9" x14ac:dyDescent="0.35">
      <c r="D158" s="46"/>
      <c r="E158" s="300"/>
    </row>
  </sheetData>
  <mergeCells count="15">
    <mergeCell ref="A143:A145"/>
    <mergeCell ref="A14:B14"/>
    <mergeCell ref="A31:B31"/>
    <mergeCell ref="B118:B119"/>
    <mergeCell ref="A57:A58"/>
    <mergeCell ref="A103:A104"/>
    <mergeCell ref="B103:B104"/>
    <mergeCell ref="A118:A119"/>
    <mergeCell ref="A72:A73"/>
    <mergeCell ref="A88:A89"/>
    <mergeCell ref="A132:A133"/>
    <mergeCell ref="B132:B133"/>
    <mergeCell ref="A134:A136"/>
    <mergeCell ref="A141:A142"/>
    <mergeCell ref="B141:B142"/>
  </mergeCells>
  <phoneticPr fontId="19" type="noConversion"/>
  <conditionalFormatting sqref="L74:L79"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3" orientation="portrait" r:id="rId1"/>
  <headerFooter alignWithMargins="0">
    <oddHeader>&amp;C&amp;F-&amp;A</oddHeader>
    <oddFooter>&amp;L&amp;D&amp;C_x000D_&amp;1#&amp;"Calibri"&amp;10&amp;K000000 INTERNA&amp;RPágina &amp;P de &amp;N</oddFooter>
  </headerFooter>
  <rowBreaks count="1" manualBreakCount="1">
    <brk id="84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EE94-7DBF-45D8-B977-731159BBC0EF}">
  <dimension ref="A1:AG109"/>
  <sheetViews>
    <sheetView showGridLines="0" topLeftCell="G3" zoomScaleNormal="100" workbookViewId="0">
      <selection activeCell="P3" sqref="P1:AB1048576"/>
    </sheetView>
  </sheetViews>
  <sheetFormatPr baseColWidth="10" defaultRowHeight="12.75" x14ac:dyDescent="0.35"/>
  <cols>
    <col min="2" max="7" width="14.73046875" customWidth="1"/>
    <col min="8" max="8" width="2.86328125" customWidth="1"/>
    <col min="9" max="9" width="12.265625" bestFit="1" customWidth="1"/>
    <col min="10" max="10" width="11.1328125" bestFit="1" customWidth="1"/>
    <col min="11" max="11" width="13.73046875" bestFit="1" customWidth="1"/>
    <col min="12" max="13" width="11.1328125" bestFit="1" customWidth="1"/>
    <col min="14" max="14" width="11.3984375" customWidth="1"/>
    <col min="15" max="15" width="2.73046875" customWidth="1"/>
    <col min="17" max="17" width="13.1328125" customWidth="1"/>
    <col min="18" max="18" width="14" customWidth="1"/>
    <col min="19" max="19" width="11.59765625" bestFit="1" customWidth="1"/>
    <col min="22" max="22" width="2.265625" customWidth="1"/>
  </cols>
  <sheetData>
    <row r="1" spans="1:33" s="1" customFormat="1" x14ac:dyDescent="0.35"/>
    <row r="2" spans="1:33" s="1" customFormat="1" x14ac:dyDescent="0.35"/>
    <row r="3" spans="1:33" s="1" customFormat="1" x14ac:dyDescent="0.35"/>
    <row r="4" spans="1:33" s="1" customFormat="1" x14ac:dyDescent="0.35"/>
    <row r="5" spans="1:33" s="1" customFormat="1" x14ac:dyDescent="0.35"/>
    <row r="6" spans="1:33" s="1" customFormat="1" ht="17.649999999999999" x14ac:dyDescent="0.35">
      <c r="A6" s="366" t="s">
        <v>201</v>
      </c>
    </row>
    <row r="7" spans="1:33" s="5" customFormat="1" ht="16.5" customHeight="1" x14ac:dyDescent="0.35">
      <c r="A7" s="5" t="s">
        <v>214</v>
      </c>
    </row>
    <row r="8" spans="1:33" ht="5.25" customHeight="1" thickBot="1" x14ac:dyDescent="0.4"/>
    <row r="9" spans="1:33" ht="24" customHeight="1" x14ac:dyDescent="0.35">
      <c r="A9" s="634" t="s">
        <v>94</v>
      </c>
      <c r="B9" s="162" t="s">
        <v>119</v>
      </c>
      <c r="C9" s="162"/>
      <c r="D9" s="162"/>
      <c r="E9" s="162"/>
      <c r="F9" s="162"/>
      <c r="G9" s="163"/>
      <c r="I9" s="180" t="s">
        <v>120</v>
      </c>
      <c r="J9" s="162"/>
      <c r="K9" s="162"/>
      <c r="L9" s="162"/>
      <c r="M9" s="162"/>
      <c r="N9" s="163"/>
    </row>
    <row r="10" spans="1:33" ht="24" customHeight="1" x14ac:dyDescent="0.35">
      <c r="A10" s="635"/>
      <c r="B10" s="164" t="s">
        <v>15</v>
      </c>
      <c r="C10" s="164" t="s">
        <v>16</v>
      </c>
      <c r="D10" s="164" t="s">
        <v>17</v>
      </c>
      <c r="E10" s="164" t="s">
        <v>18</v>
      </c>
      <c r="F10" s="164" t="s">
        <v>19</v>
      </c>
      <c r="G10" s="165" t="s">
        <v>20</v>
      </c>
      <c r="I10" s="181" t="s">
        <v>15</v>
      </c>
      <c r="J10" s="164" t="s">
        <v>16</v>
      </c>
      <c r="K10" s="164" t="s">
        <v>17</v>
      </c>
      <c r="L10" s="164" t="s">
        <v>18</v>
      </c>
      <c r="M10" s="164" t="s">
        <v>19</v>
      </c>
      <c r="N10" s="165" t="s">
        <v>20</v>
      </c>
    </row>
    <row r="11" spans="1:33" ht="18" customHeight="1" x14ac:dyDescent="0.35">
      <c r="A11" s="222" t="s">
        <v>95</v>
      </c>
      <c r="B11" s="482">
        <f>ROUND('VI. Diseño del Peaje 2.0 TD'!B70,6)</f>
        <v>2.9420139999999999</v>
      </c>
      <c r="C11" s="482">
        <f>ROUND('VI. Diseño del Peaje 2.0 TD'!C70,6)</f>
        <v>2.9889999999999999E-3</v>
      </c>
      <c r="D11" s="483"/>
      <c r="E11" s="483"/>
      <c r="F11" s="483"/>
      <c r="G11" s="484"/>
      <c r="H11" s="1"/>
      <c r="I11" s="390">
        <f>ROUND('VI. Diseño del Peaje 2.0 TD'!D70,6)</f>
        <v>4.3569999999999998E-3</v>
      </c>
      <c r="J11" s="391">
        <f>ROUND('VI. Diseño del Peaje 2.0 TD'!E70,6)</f>
        <v>2.0409999999999998E-3</v>
      </c>
      <c r="K11" s="391">
        <f>ROUND('VI. Diseño del Peaje 2.0 TD'!F70,6)</f>
        <v>3.9999999999999998E-6</v>
      </c>
      <c r="L11" s="446"/>
      <c r="M11" s="446"/>
      <c r="N11" s="447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ht="18" customHeight="1" x14ac:dyDescent="0.35">
      <c r="A12" s="225" t="s">
        <v>96</v>
      </c>
      <c r="B12" s="481">
        <f>ROUND('Va. Peajes transporte'!B80,6)</f>
        <v>1.838813</v>
      </c>
      <c r="C12" s="481">
        <f>ROUND('Va. Peajes transporte'!C80,6)</f>
        <v>0.93106299999999997</v>
      </c>
      <c r="D12" s="481">
        <f>ROUND('Va. Peajes transporte'!D80,6)</f>
        <v>0.28368500000000002</v>
      </c>
      <c r="E12" s="481">
        <f>ROUND('Va. Peajes transporte'!E80,6)</f>
        <v>0.15315000000000001</v>
      </c>
      <c r="F12" s="481">
        <f>ROUND('Va. Peajes transporte'!F80,6)</f>
        <v>3.2620000000000001E-3</v>
      </c>
      <c r="G12" s="485">
        <f>ROUND('Va. Peajes transporte'!G80,6)</f>
        <v>3.2620000000000001E-3</v>
      </c>
      <c r="H12" s="1"/>
      <c r="I12" s="392">
        <f>ROUND('Va. Peajes transporte'!I80,6)</f>
        <v>6.4190000000000002E-3</v>
      </c>
      <c r="J12" s="393">
        <f>ROUND('Va. Peajes transporte'!J80,6)</f>
        <v>2.7209999999999999E-3</v>
      </c>
      <c r="K12" s="393">
        <f>ROUND('Va. Peajes transporte'!K80,6)</f>
        <v>9.2000000000000003E-4</v>
      </c>
      <c r="L12" s="393">
        <f>ROUND('Va. Peajes transporte'!L80,6)</f>
        <v>4.75E-4</v>
      </c>
      <c r="M12" s="393">
        <f>ROUND('Va. Peajes transporte'!M80,6)</f>
        <v>2.5000000000000001E-5</v>
      </c>
      <c r="N12" s="394">
        <f>ROUND('Va. Peajes transporte'!N80,6)</f>
        <v>3.0000000000000001E-6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ht="18" customHeight="1" x14ac:dyDescent="0.35">
      <c r="A13" s="225" t="s">
        <v>97</v>
      </c>
      <c r="B13" s="481">
        <f>ROUND('Va. Peajes transporte'!B81,6)</f>
        <v>5.4417679999999997</v>
      </c>
      <c r="C13" s="481">
        <f>ROUND('Va. Peajes transporte'!C81,6)</f>
        <v>2.8237549999999998</v>
      </c>
      <c r="D13" s="481">
        <f>ROUND('Va. Peajes transporte'!D81,6)</f>
        <v>0.96990600000000005</v>
      </c>
      <c r="E13" s="481">
        <f>ROUND('Va. Peajes transporte'!E81,6)</f>
        <v>0.61537600000000003</v>
      </c>
      <c r="F13" s="481">
        <f>ROUND('Va. Peajes transporte'!F81,6)</f>
        <v>1.3995E-2</v>
      </c>
      <c r="G13" s="485">
        <f>ROUND('Va. Peajes transporte'!G81,6)</f>
        <v>6.3160000000000004E-3</v>
      </c>
      <c r="H13" s="1"/>
      <c r="I13" s="392">
        <f>ROUND('Va. Peajes transporte'!I81,6)</f>
        <v>6.0980000000000001E-3</v>
      </c>
      <c r="J13" s="393">
        <f>ROUND('Va. Peajes transporte'!J81,6)</f>
        <v>2.6220000000000002E-3</v>
      </c>
      <c r="K13" s="393">
        <f>ROUND('Va. Peajes transporte'!K81,6)</f>
        <v>9.3000000000000005E-4</v>
      </c>
      <c r="L13" s="393">
        <f>ROUND('Va. Peajes transporte'!L81,6)</f>
        <v>4.8500000000000003E-4</v>
      </c>
      <c r="M13" s="393">
        <f>ROUND('Va. Peajes transporte'!M81,6)</f>
        <v>2.5000000000000001E-5</v>
      </c>
      <c r="N13" s="394">
        <f>ROUND('Va. Peajes transporte'!N81,6)</f>
        <v>3.0000000000000001E-6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ht="18" customHeight="1" x14ac:dyDescent="0.35">
      <c r="A14" s="225" t="s">
        <v>98</v>
      </c>
      <c r="B14" s="481">
        <f>ROUND('Va. Peajes transporte'!B82,6)</f>
        <v>6.0356560000000004</v>
      </c>
      <c r="C14" s="481">
        <f>ROUND('Va. Peajes transporte'!C82,6)</f>
        <v>3.1838880000000001</v>
      </c>
      <c r="D14" s="481">
        <f>ROUND('Va. Peajes transporte'!D82,6)</f>
        <v>0.91900499999999996</v>
      </c>
      <c r="E14" s="481">
        <f>ROUND('Va. Peajes transporte'!E82,6)</f>
        <v>0.52412999999999998</v>
      </c>
      <c r="F14" s="481">
        <f>ROUND('Va. Peajes transporte'!F82,6)</f>
        <v>1.4253999999999999E-2</v>
      </c>
      <c r="G14" s="485">
        <f>ROUND('Va. Peajes transporte'!G82,6)</f>
        <v>7.6299999999999996E-3</v>
      </c>
      <c r="H14" s="1"/>
      <c r="I14" s="392">
        <f>ROUND('Va. Peajes transporte'!I82,6)</f>
        <v>5.2620000000000002E-3</v>
      </c>
      <c r="J14" s="393">
        <f>ROUND('Va. Peajes transporte'!J82,6)</f>
        <v>2.251E-3</v>
      </c>
      <c r="K14" s="393">
        <f>ROUND('Va. Peajes transporte'!K82,6)</f>
        <v>7.9900000000000001E-4</v>
      </c>
      <c r="L14" s="393">
        <f>ROUND('Va. Peajes transporte'!L82,6)</f>
        <v>4.15E-4</v>
      </c>
      <c r="M14" s="393">
        <f>ROUND('Va. Peajes transporte'!M82,6)</f>
        <v>2.0999999999999999E-5</v>
      </c>
      <c r="N14" s="394">
        <f>ROUND('Va. Peajes transporte'!N82,6)</f>
        <v>1.9999999999999999E-6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ht="18" customHeight="1" x14ac:dyDescent="0.35">
      <c r="A15" s="225" t="s">
        <v>99</v>
      </c>
      <c r="B15" s="481">
        <f>ROUND('Va. Peajes transporte'!B83,6)</f>
        <v>5.3264889999999996</v>
      </c>
      <c r="C15" s="481">
        <f>ROUND('Va. Peajes transporte'!C83,6)</f>
        <v>3.0671020000000002</v>
      </c>
      <c r="D15" s="481">
        <f>ROUND('Va. Peajes transporte'!D83,6)</f>
        <v>1.027633</v>
      </c>
      <c r="E15" s="481">
        <f>ROUND('Va. Peajes transporte'!E83,6)</f>
        <v>0.62327399999999999</v>
      </c>
      <c r="F15" s="481">
        <f>ROUND('Va. Peajes transporte'!F83,6)</f>
        <v>1.4734000000000001E-2</v>
      </c>
      <c r="G15" s="485">
        <f>ROUND('Va. Peajes transporte'!G83,6)</f>
        <v>9.3069999999999993E-3</v>
      </c>
      <c r="H15" s="1"/>
      <c r="I15" s="392">
        <f>ROUND('Va. Peajes transporte'!I83,6)</f>
        <v>5.8970000000000003E-3</v>
      </c>
      <c r="J15" s="393">
        <f>ROUND('Va. Peajes transporte'!J83,6)</f>
        <v>2.4989999999999999E-3</v>
      </c>
      <c r="K15" s="393">
        <f>ROUND('Va. Peajes transporte'!K83,6)</f>
        <v>8.9700000000000001E-4</v>
      </c>
      <c r="L15" s="393">
        <f>ROUND('Va. Peajes transporte'!L83,6)</f>
        <v>4.7600000000000002E-4</v>
      </c>
      <c r="M15" s="393">
        <f>ROUND('Va. Peajes transporte'!M83,6)</f>
        <v>2.5000000000000001E-5</v>
      </c>
      <c r="N15" s="394">
        <f>ROUND('Va. Peajes transporte'!N83,6)</f>
        <v>3.0000000000000001E-6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ht="18" customHeight="1" thickBot="1" x14ac:dyDescent="0.4">
      <c r="A16" s="228" t="s">
        <v>100</v>
      </c>
      <c r="B16" s="486">
        <f>ROUND('Va. Peajes transporte'!B84,6)</f>
        <v>6.5902149999999997</v>
      </c>
      <c r="C16" s="486">
        <f>ROUND('Va. Peajes transporte'!C84,6)</f>
        <v>3.9399799999999998</v>
      </c>
      <c r="D16" s="486">
        <f>ROUND('Va. Peajes transporte'!D84,6)</f>
        <v>0.95681700000000003</v>
      </c>
      <c r="E16" s="486">
        <f>ROUND('Va. Peajes transporte'!E84,6)</f>
        <v>0.66508100000000003</v>
      </c>
      <c r="F16" s="486">
        <f>ROUND('Va. Peajes transporte'!F84,6)</f>
        <v>1.9779000000000001E-2</v>
      </c>
      <c r="G16" s="487">
        <f>ROUND('Va. Peajes transporte'!G84,6)</f>
        <v>1.3181E-2</v>
      </c>
      <c r="H16" s="1"/>
      <c r="I16" s="395">
        <f>ROUND('Va. Peajes transporte'!I84,6)</f>
        <v>7.9439999999999997E-3</v>
      </c>
      <c r="J16" s="396">
        <f>ROUND('Va. Peajes transporte'!J84,6)</f>
        <v>3.5690000000000001E-3</v>
      </c>
      <c r="K16" s="396">
        <f>ROUND('Va. Peajes transporte'!K84,6)</f>
        <v>1.2880000000000001E-3</v>
      </c>
      <c r="L16" s="396">
        <f>ROUND('Va. Peajes transporte'!L84,6)</f>
        <v>6.8099999999999996E-4</v>
      </c>
      <c r="M16" s="396">
        <f>ROUND('Va. Peajes transporte'!M84,6)</f>
        <v>3.6000000000000001E-5</v>
      </c>
      <c r="N16" s="397">
        <f>ROUND('Va. Peajes transporte'!N84,6)</f>
        <v>3.9999999999999998E-6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s="5" customFormat="1" ht="16.5" customHeight="1" x14ac:dyDescent="0.35">
      <c r="A17" s="5" t="s">
        <v>216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ht="5.25" customHeight="1" thickBot="1" x14ac:dyDescent="0.4"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ht="24" customHeight="1" x14ac:dyDescent="0.35">
      <c r="A19" s="634" t="s">
        <v>94</v>
      </c>
      <c r="B19" s="162" t="s">
        <v>119</v>
      </c>
      <c r="C19" s="162"/>
      <c r="D19" s="162"/>
      <c r="E19" s="162"/>
      <c r="F19" s="162"/>
      <c r="G19" s="163"/>
      <c r="I19" s="180" t="s">
        <v>120</v>
      </c>
      <c r="J19" s="162"/>
      <c r="K19" s="162"/>
      <c r="L19" s="162"/>
      <c r="M19" s="162"/>
      <c r="N19" s="163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24" customHeight="1" x14ac:dyDescent="0.35">
      <c r="A20" s="635"/>
      <c r="B20" s="164" t="s">
        <v>15</v>
      </c>
      <c r="C20" s="164" t="s">
        <v>16</v>
      </c>
      <c r="D20" s="164" t="s">
        <v>17</v>
      </c>
      <c r="E20" s="164" t="s">
        <v>18</v>
      </c>
      <c r="F20" s="164" t="s">
        <v>19</v>
      </c>
      <c r="G20" s="165" t="s">
        <v>20</v>
      </c>
      <c r="I20" s="181" t="s">
        <v>15</v>
      </c>
      <c r="J20" s="164" t="s">
        <v>16</v>
      </c>
      <c r="K20" s="164" t="s">
        <v>17</v>
      </c>
      <c r="L20" s="164" t="s">
        <v>18</v>
      </c>
      <c r="M20" s="164" t="s">
        <v>19</v>
      </c>
      <c r="N20" s="165" t="s">
        <v>20</v>
      </c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ht="18" customHeight="1" x14ac:dyDescent="0.35">
      <c r="A21" s="222" t="s">
        <v>95</v>
      </c>
      <c r="B21" s="482">
        <f>ROUND('VI. Diseño del Peaje 2.0 TD'!B71,6)</f>
        <v>20.016918</v>
      </c>
      <c r="C21" s="482">
        <f>ROUND('VI. Diseño del Peaje 2.0 TD'!C71,6)</f>
        <v>0.43917600000000001</v>
      </c>
      <c r="D21" s="483"/>
      <c r="E21" s="483"/>
      <c r="F21" s="483"/>
      <c r="G21" s="484"/>
      <c r="H21" s="1"/>
      <c r="I21" s="390">
        <f>ROUND('VI. Diseño del Peaje 2.0 TD'!D71,6)</f>
        <v>2.9877000000000001E-2</v>
      </c>
      <c r="J21" s="391">
        <f>ROUND('VI. Diseño del Peaje 2.0 TD'!E71,6)</f>
        <v>1.4499E-2</v>
      </c>
      <c r="K21" s="391">
        <f>ROUND('VI. Diseño del Peaje 2.0 TD'!F71,6)</f>
        <v>7.4999999999999993E-5</v>
      </c>
      <c r="L21" s="446"/>
      <c r="M21" s="446"/>
      <c r="N21" s="447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ht="18" customHeight="1" x14ac:dyDescent="0.35">
      <c r="A22" s="225" t="s">
        <v>96</v>
      </c>
      <c r="B22" s="481">
        <f>ROUND('Vb. Peajes distribución'!B80,6)</f>
        <v>12.884618</v>
      </c>
      <c r="C22" s="481">
        <f>ROUND('Vb. Peajes distribución'!C80,6)</f>
        <v>6.8509010000000004</v>
      </c>
      <c r="D22" s="481">
        <f>ROUND('Vb. Peajes distribución'!D80,6)</f>
        <v>2.1845669999999999</v>
      </c>
      <c r="E22" s="481">
        <f>ROUND('Vb. Peajes distribución'!E80,6)</f>
        <v>1.7341169999999999</v>
      </c>
      <c r="F22" s="481">
        <f>ROUND('Vb. Peajes distribución'!F80,6)</f>
        <v>0.53062100000000001</v>
      </c>
      <c r="G22" s="485">
        <f>ROUND('Vb. Peajes distribución'!G80,6)</f>
        <v>0.53062100000000001</v>
      </c>
      <c r="H22" s="1"/>
      <c r="I22" s="392">
        <f>ROUND('Vb. Peajes distribución'!I80,6)</f>
        <v>2.2109E-2</v>
      </c>
      <c r="J22" s="393">
        <f>ROUND('Vb. Peajes distribución'!J80,6)</f>
        <v>9.6220000000000003E-3</v>
      </c>
      <c r="K22" s="393">
        <f>ROUND('Vb. Peajes distribución'!K80,6)</f>
        <v>3.7529999999999998E-3</v>
      </c>
      <c r="L22" s="393">
        <f>ROUND('Vb. Peajes distribución'!L80,6)</f>
        <v>2.2070000000000002E-3</v>
      </c>
      <c r="M22" s="393">
        <f>ROUND('Vb. Peajes distribución'!M80,6)</f>
        <v>9.3999999999999994E-5</v>
      </c>
      <c r="N22" s="394">
        <f>ROUND('Vb. Peajes distribución'!N80,6)</f>
        <v>2.8E-5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ht="18" customHeight="1" x14ac:dyDescent="0.35">
      <c r="A23" s="225" t="s">
        <v>97</v>
      </c>
      <c r="B23" s="481">
        <f>ROUND('Vb. Peajes distribución'!B81,6)</f>
        <v>18.227287</v>
      </c>
      <c r="C23" s="481">
        <f>ROUND('Vb. Peajes distribución'!C81,6)</f>
        <v>9.6901600000000006</v>
      </c>
      <c r="D23" s="481">
        <f>ROUND('Vb. Peajes distribución'!D81,6)</f>
        <v>3.7264240000000002</v>
      </c>
      <c r="E23" s="481">
        <f>ROUND('Vb. Peajes distribución'!E81,6)</f>
        <v>2.6938689999999998</v>
      </c>
      <c r="F23" s="481">
        <f>ROUND('Vb. Peajes distribución'!F81,6)</f>
        <v>5.5969999999999999E-2</v>
      </c>
      <c r="G23" s="485">
        <f>ROUND('Vb. Peajes distribución'!G81,6)</f>
        <v>5.5969999999999999E-2</v>
      </c>
      <c r="H23" s="1"/>
      <c r="I23" s="392">
        <f>ROUND('Vb. Peajes distribución'!I81,6)</f>
        <v>2.1006E-2</v>
      </c>
      <c r="J23" s="393">
        <f>ROUND('Vb. Peajes distribución'!J81,6)</f>
        <v>9.2720000000000007E-3</v>
      </c>
      <c r="K23" s="393">
        <f>ROUND('Vb. Peajes distribución'!K81,6)</f>
        <v>3.7959999999999999E-3</v>
      </c>
      <c r="L23" s="393">
        <f>ROUND('Vb. Peajes distribución'!L81,6)</f>
        <v>2.2539999999999999E-3</v>
      </c>
      <c r="M23" s="393">
        <f>ROUND('Vb. Peajes distribución'!M81,6)</f>
        <v>9.7E-5</v>
      </c>
      <c r="N23" s="394">
        <f>ROUND('Vb. Peajes distribución'!N81,6)</f>
        <v>2.5999999999999998E-5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ht="18" customHeight="1" x14ac:dyDescent="0.35">
      <c r="A24" s="225" t="s">
        <v>98</v>
      </c>
      <c r="B24" s="481">
        <f>ROUND('Vb. Peajes distribución'!B82,6)</f>
        <v>10.584712</v>
      </c>
      <c r="C24" s="481">
        <f>ROUND('Vb. Peajes distribución'!C82,6)</f>
        <v>6.242165</v>
      </c>
      <c r="D24" s="481">
        <f>ROUND('Vb. Peajes distribución'!D82,6)</f>
        <v>1.562511</v>
      </c>
      <c r="E24" s="481">
        <f>ROUND('Vb. Peajes distribución'!E82,6)</f>
        <v>0.98789800000000005</v>
      </c>
      <c r="F24" s="481">
        <f>ROUND('Vb. Peajes distribución'!F82,6)</f>
        <v>4.5024000000000002E-2</v>
      </c>
      <c r="G24" s="485">
        <f>ROUND('Vb. Peajes distribución'!G82,6)</f>
        <v>4.5024000000000002E-2</v>
      </c>
      <c r="H24" s="1"/>
      <c r="I24" s="392">
        <f>ROUND('Vb. Peajes distribución'!I82,6)</f>
        <v>9.5080000000000008E-3</v>
      </c>
      <c r="J24" s="393">
        <f>ROUND('Vb. Peajes distribución'!J82,6)</f>
        <v>4.5890000000000002E-3</v>
      </c>
      <c r="K24" s="393">
        <f>ROUND('Vb. Peajes distribución'!K82,6)</f>
        <v>1.48E-3</v>
      </c>
      <c r="L24" s="393">
        <f>ROUND('Vb. Peajes distribución'!L82,6)</f>
        <v>8.0400000000000003E-4</v>
      </c>
      <c r="M24" s="393">
        <f>ROUND('Vb. Peajes distribución'!M82,6)</f>
        <v>4.1999999999999998E-5</v>
      </c>
      <c r="N24" s="394">
        <f>ROUND('Vb. Peajes distribución'!N82,6)</f>
        <v>1.8E-5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ht="18" customHeight="1" x14ac:dyDescent="0.35">
      <c r="A25" s="225" t="s">
        <v>99</v>
      </c>
      <c r="B25" s="481">
        <f>ROUND('Vb. Peajes distribución'!B83,6)</f>
        <v>5.4648880000000002</v>
      </c>
      <c r="C25" s="481">
        <f>ROUND('Vb. Peajes distribución'!C83,6)</f>
        <v>3.4351340000000001</v>
      </c>
      <c r="D25" s="481">
        <f>ROUND('Vb. Peajes distribución'!D83,6)</f>
        <v>1.0906849999999999</v>
      </c>
      <c r="E25" s="481">
        <f>ROUND('Vb. Peajes distribución'!E83,6)</f>
        <v>0.75726700000000002</v>
      </c>
      <c r="F25" s="481">
        <f>ROUND('Vb. Peajes distribución'!F83,6)</f>
        <v>3.0598E-2</v>
      </c>
      <c r="G25" s="485">
        <f>ROUND('Vb. Peajes distribución'!G83,6)</f>
        <v>3.0598E-2</v>
      </c>
      <c r="H25" s="1"/>
      <c r="I25" s="392">
        <f>ROUND('Vb. Peajes distribución'!I83,6)</f>
        <v>6.3969999999999999E-3</v>
      </c>
      <c r="J25" s="393">
        <f>ROUND('Vb. Peajes distribución'!J83,6)</f>
        <v>2.9710000000000001E-3</v>
      </c>
      <c r="K25" s="393">
        <f>ROUND('Vb. Peajes distribución'!K83,6)</f>
        <v>1.034E-3</v>
      </c>
      <c r="L25" s="393">
        <f>ROUND('Vb. Peajes distribución'!L83,6)</f>
        <v>5.8699999999999996E-4</v>
      </c>
      <c r="M25" s="393">
        <f>ROUND('Vb. Peajes distribución'!M83,6)</f>
        <v>3.0000000000000001E-5</v>
      </c>
      <c r="N25" s="394">
        <f>ROUND('Vb. Peajes distribución'!N83,6)</f>
        <v>1.2E-5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ht="18" customHeight="1" thickBot="1" x14ac:dyDescent="0.4">
      <c r="A26" s="228" t="s">
        <v>100</v>
      </c>
      <c r="B26" s="486">
        <f>ROUND('Vb. Peajes distribución'!B84,6)</f>
        <v>0</v>
      </c>
      <c r="C26" s="486">
        <f>ROUND('Vb. Peajes distribución'!C84,6)</f>
        <v>0</v>
      </c>
      <c r="D26" s="486">
        <f>ROUND('Vb. Peajes distribución'!D84,6)</f>
        <v>0</v>
      </c>
      <c r="E26" s="486">
        <f>ROUND('Vb. Peajes distribución'!E84,6)</f>
        <v>0</v>
      </c>
      <c r="F26" s="486">
        <f>ROUND('Vb. Peajes distribución'!F84,6)</f>
        <v>0</v>
      </c>
      <c r="G26" s="487">
        <f>ROUND('Vb. Peajes distribución'!G84,6)</f>
        <v>0</v>
      </c>
      <c r="H26" s="1"/>
      <c r="I26" s="395">
        <f>ROUND('Vb. Peajes distribución'!I84,6)</f>
        <v>0</v>
      </c>
      <c r="J26" s="396">
        <f>ROUND('Vb. Peajes distribución'!J84,6)</f>
        <v>0</v>
      </c>
      <c r="K26" s="396">
        <f>ROUND('Vb. Peajes distribución'!K84,6)</f>
        <v>0</v>
      </c>
      <c r="L26" s="396">
        <f>ROUND('Vb. Peajes distribución'!L84,6)</f>
        <v>0</v>
      </c>
      <c r="M26" s="396">
        <f>ROUND('Vb. Peajes distribución'!M84,6)</f>
        <v>0</v>
      </c>
      <c r="N26" s="397">
        <f>ROUND('Vb. Peajes distribución'!N84,6)</f>
        <v>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s="366" customFormat="1" ht="30" customHeight="1" x14ac:dyDescent="0.35">
      <c r="A27" s="2" t="s">
        <v>215</v>
      </c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s="366" customFormat="1" ht="6.75" customHeight="1" x14ac:dyDescent="0.35"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s="5" customFormat="1" ht="16.5" customHeight="1" x14ac:dyDescent="0.35">
      <c r="A29" s="5" t="s">
        <v>217</v>
      </c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ht="5.25" customHeight="1" thickBot="1" x14ac:dyDescent="0.4"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ht="24" customHeight="1" x14ac:dyDescent="0.35">
      <c r="A31" s="634" t="s">
        <v>94</v>
      </c>
      <c r="B31" s="162" t="s">
        <v>119</v>
      </c>
      <c r="C31" s="162"/>
      <c r="D31" s="162"/>
      <c r="E31" s="162"/>
      <c r="F31" s="162"/>
      <c r="G31" s="163"/>
      <c r="I31" s="180" t="s">
        <v>120</v>
      </c>
      <c r="J31" s="162"/>
      <c r="K31" s="162"/>
      <c r="L31" s="162"/>
      <c r="M31" s="162"/>
      <c r="N31" s="163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ht="24" customHeight="1" x14ac:dyDescent="0.35">
      <c r="A32" s="635"/>
      <c r="B32" s="164" t="s">
        <v>15</v>
      </c>
      <c r="C32" s="164" t="s">
        <v>16</v>
      </c>
      <c r="D32" s="164" t="s">
        <v>17</v>
      </c>
      <c r="E32" s="164" t="s">
        <v>18</v>
      </c>
      <c r="F32" s="164" t="s">
        <v>19</v>
      </c>
      <c r="G32" s="165" t="s">
        <v>20</v>
      </c>
      <c r="I32" s="181" t="s">
        <v>15</v>
      </c>
      <c r="J32" s="164" t="s">
        <v>16</v>
      </c>
      <c r="K32" s="164" t="s">
        <v>17</v>
      </c>
      <c r="L32" s="164" t="s">
        <v>18</v>
      </c>
      <c r="M32" s="164" t="s">
        <v>19</v>
      </c>
      <c r="N32" s="165" t="s">
        <v>20</v>
      </c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ht="18" customHeight="1" x14ac:dyDescent="0.35">
      <c r="A33" s="222" t="s">
        <v>95</v>
      </c>
      <c r="B33" s="482">
        <f>B11+B21</f>
        <v>22.958932000000001</v>
      </c>
      <c r="C33" s="482">
        <f t="shared" ref="C33:G33" si="0">C11+C21</f>
        <v>0.44216500000000003</v>
      </c>
      <c r="D33" s="483">
        <f t="shared" si="0"/>
        <v>0</v>
      </c>
      <c r="E33" s="483">
        <f t="shared" si="0"/>
        <v>0</v>
      </c>
      <c r="F33" s="483">
        <f t="shared" si="0"/>
        <v>0</v>
      </c>
      <c r="G33" s="484">
        <f t="shared" si="0"/>
        <v>0</v>
      </c>
      <c r="H33" s="1"/>
      <c r="I33" s="390">
        <f>I11+I21</f>
        <v>3.4234000000000001E-2</v>
      </c>
      <c r="J33" s="391">
        <f t="shared" ref="J33:N33" si="1">J11+J21</f>
        <v>1.6539999999999999E-2</v>
      </c>
      <c r="K33" s="391">
        <f t="shared" si="1"/>
        <v>7.8999999999999996E-5</v>
      </c>
      <c r="L33" s="446">
        <f t="shared" si="1"/>
        <v>0</v>
      </c>
      <c r="M33" s="446">
        <f t="shared" si="1"/>
        <v>0</v>
      </c>
      <c r="N33" s="447">
        <f t="shared" si="1"/>
        <v>0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ht="18" customHeight="1" x14ac:dyDescent="0.35">
      <c r="A34" s="225" t="s">
        <v>96</v>
      </c>
      <c r="B34" s="481">
        <f t="shared" ref="B34:G34" si="2">B12+B22</f>
        <v>14.723431</v>
      </c>
      <c r="C34" s="481">
        <f t="shared" si="2"/>
        <v>7.7819640000000003</v>
      </c>
      <c r="D34" s="481">
        <f t="shared" si="2"/>
        <v>2.4682520000000001</v>
      </c>
      <c r="E34" s="481">
        <f t="shared" si="2"/>
        <v>1.887267</v>
      </c>
      <c r="F34" s="481">
        <f t="shared" si="2"/>
        <v>0.533883</v>
      </c>
      <c r="G34" s="485">
        <f t="shared" si="2"/>
        <v>0.533883</v>
      </c>
      <c r="H34" s="1"/>
      <c r="I34" s="392">
        <f t="shared" ref="I34:N34" si="3">I12+I22</f>
        <v>2.8528000000000001E-2</v>
      </c>
      <c r="J34" s="393">
        <f t="shared" si="3"/>
        <v>1.2343E-2</v>
      </c>
      <c r="K34" s="393">
        <f t="shared" si="3"/>
        <v>4.6730000000000001E-3</v>
      </c>
      <c r="L34" s="393">
        <f t="shared" si="3"/>
        <v>2.6820000000000004E-3</v>
      </c>
      <c r="M34" s="393">
        <f t="shared" si="3"/>
        <v>1.1899999999999999E-4</v>
      </c>
      <c r="N34" s="394">
        <f t="shared" si="3"/>
        <v>3.1000000000000001E-5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ht="18" customHeight="1" x14ac:dyDescent="0.35">
      <c r="A35" s="225" t="s">
        <v>97</v>
      </c>
      <c r="B35" s="481">
        <f t="shared" ref="B35:G35" si="4">B13+B23</f>
        <v>23.669055</v>
      </c>
      <c r="C35" s="481">
        <f t="shared" si="4"/>
        <v>12.513915000000001</v>
      </c>
      <c r="D35" s="481">
        <f t="shared" si="4"/>
        <v>4.6963300000000006</v>
      </c>
      <c r="E35" s="481">
        <f t="shared" si="4"/>
        <v>3.3092449999999998</v>
      </c>
      <c r="F35" s="481">
        <f t="shared" si="4"/>
        <v>6.9964999999999999E-2</v>
      </c>
      <c r="G35" s="485">
        <f t="shared" si="4"/>
        <v>6.2286000000000001E-2</v>
      </c>
      <c r="H35" s="1"/>
      <c r="I35" s="392">
        <f t="shared" ref="I35:N35" si="5">I13+I23</f>
        <v>2.7104E-2</v>
      </c>
      <c r="J35" s="393">
        <f t="shared" si="5"/>
        <v>1.1894000000000002E-2</v>
      </c>
      <c r="K35" s="393">
        <f t="shared" si="5"/>
        <v>4.7260000000000002E-3</v>
      </c>
      <c r="L35" s="393">
        <f t="shared" si="5"/>
        <v>2.7390000000000001E-3</v>
      </c>
      <c r="M35" s="393">
        <f t="shared" si="5"/>
        <v>1.22E-4</v>
      </c>
      <c r="N35" s="394">
        <f t="shared" si="5"/>
        <v>2.9E-5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ht="18" customHeight="1" x14ac:dyDescent="0.35">
      <c r="A36" s="225" t="s">
        <v>98</v>
      </c>
      <c r="B36" s="481">
        <f t="shared" ref="B36:G36" si="6">B14+B24</f>
        <v>16.620367999999999</v>
      </c>
      <c r="C36" s="481">
        <f t="shared" si="6"/>
        <v>9.4260529999999996</v>
      </c>
      <c r="D36" s="481">
        <f t="shared" si="6"/>
        <v>2.4815160000000001</v>
      </c>
      <c r="E36" s="481">
        <f t="shared" si="6"/>
        <v>1.5120279999999999</v>
      </c>
      <c r="F36" s="481">
        <f t="shared" si="6"/>
        <v>5.9277999999999997E-2</v>
      </c>
      <c r="G36" s="485">
        <f t="shared" si="6"/>
        <v>5.2653999999999999E-2</v>
      </c>
      <c r="H36" s="1"/>
      <c r="I36" s="392">
        <f t="shared" ref="I36:N36" si="7">I14+I24</f>
        <v>1.4770000000000002E-2</v>
      </c>
      <c r="J36" s="393">
        <f t="shared" si="7"/>
        <v>6.8400000000000006E-3</v>
      </c>
      <c r="K36" s="393">
        <f t="shared" si="7"/>
        <v>2.2789999999999998E-3</v>
      </c>
      <c r="L36" s="393">
        <f t="shared" si="7"/>
        <v>1.219E-3</v>
      </c>
      <c r="M36" s="393">
        <f t="shared" si="7"/>
        <v>6.3E-5</v>
      </c>
      <c r="N36" s="394">
        <f t="shared" si="7"/>
        <v>2.0000000000000002E-5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ht="18" customHeight="1" x14ac:dyDescent="0.35">
      <c r="A37" s="225" t="s">
        <v>99</v>
      </c>
      <c r="B37" s="481">
        <f t="shared" ref="B37:G37" si="8">B15+B25</f>
        <v>10.791377000000001</v>
      </c>
      <c r="C37" s="481">
        <f t="shared" si="8"/>
        <v>6.5022359999999999</v>
      </c>
      <c r="D37" s="481">
        <f t="shared" si="8"/>
        <v>2.1183179999999999</v>
      </c>
      <c r="E37" s="481">
        <f t="shared" si="8"/>
        <v>1.380541</v>
      </c>
      <c r="F37" s="481">
        <f t="shared" si="8"/>
        <v>4.5331999999999997E-2</v>
      </c>
      <c r="G37" s="485">
        <f t="shared" si="8"/>
        <v>3.9904999999999996E-2</v>
      </c>
      <c r="H37" s="1"/>
      <c r="I37" s="392">
        <f t="shared" ref="I37:N37" si="9">I15+I25</f>
        <v>1.2293999999999999E-2</v>
      </c>
      <c r="J37" s="393">
        <f t="shared" si="9"/>
        <v>5.47E-3</v>
      </c>
      <c r="K37" s="393">
        <f t="shared" si="9"/>
        <v>1.931E-3</v>
      </c>
      <c r="L37" s="393">
        <f t="shared" si="9"/>
        <v>1.0629999999999999E-3</v>
      </c>
      <c r="M37" s="393">
        <f t="shared" si="9"/>
        <v>5.5000000000000002E-5</v>
      </c>
      <c r="N37" s="394">
        <f t="shared" si="9"/>
        <v>1.5E-5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ht="18" customHeight="1" thickBot="1" x14ac:dyDescent="0.4">
      <c r="A38" s="228" t="s">
        <v>100</v>
      </c>
      <c r="B38" s="486">
        <f t="shared" ref="B38:G38" si="10">B16+B26</f>
        <v>6.5902149999999997</v>
      </c>
      <c r="C38" s="486">
        <f t="shared" si="10"/>
        <v>3.9399799999999998</v>
      </c>
      <c r="D38" s="486">
        <f t="shared" si="10"/>
        <v>0.95681700000000003</v>
      </c>
      <c r="E38" s="486">
        <f t="shared" si="10"/>
        <v>0.66508100000000003</v>
      </c>
      <c r="F38" s="486">
        <f t="shared" si="10"/>
        <v>1.9779000000000001E-2</v>
      </c>
      <c r="G38" s="487">
        <f t="shared" si="10"/>
        <v>1.3181E-2</v>
      </c>
      <c r="H38" s="1"/>
      <c r="I38" s="395">
        <f t="shared" ref="I38:N38" si="11">I16+I26</f>
        <v>7.9439999999999997E-3</v>
      </c>
      <c r="J38" s="396">
        <f t="shared" si="11"/>
        <v>3.5690000000000001E-3</v>
      </c>
      <c r="K38" s="396">
        <f t="shared" si="11"/>
        <v>1.2880000000000001E-3</v>
      </c>
      <c r="L38" s="396">
        <f t="shared" si="11"/>
        <v>6.8099999999999996E-4</v>
      </c>
      <c r="M38" s="396">
        <f t="shared" si="11"/>
        <v>3.6000000000000001E-5</v>
      </c>
      <c r="N38" s="397">
        <f t="shared" si="11"/>
        <v>3.9999999999999998E-6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x14ac:dyDescent="0.35">
      <c r="B39" s="292"/>
      <c r="C39" s="292"/>
      <c r="D39" s="290"/>
      <c r="E39" s="29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s="5" customFormat="1" ht="16.5" customHeight="1" x14ac:dyDescent="0.35">
      <c r="A40" s="5" t="s">
        <v>190</v>
      </c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ht="5.25" customHeight="1" thickBot="1" x14ac:dyDescent="0.4">
      <c r="A41" s="191"/>
      <c r="B41" s="192"/>
      <c r="C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ht="24" customHeight="1" x14ac:dyDescent="0.35">
      <c r="A42" s="634" t="s">
        <v>50</v>
      </c>
      <c r="B42" s="162" t="s">
        <v>92</v>
      </c>
      <c r="C42" s="162"/>
      <c r="D42" s="162"/>
      <c r="E42" s="162"/>
      <c r="F42" s="162"/>
      <c r="G42" s="163"/>
      <c r="I42" s="180" t="s">
        <v>93</v>
      </c>
      <c r="J42" s="162"/>
      <c r="K42" s="162"/>
      <c r="L42" s="162"/>
      <c r="M42" s="162"/>
      <c r="N42" s="163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ht="24" customHeight="1" x14ac:dyDescent="0.35">
      <c r="A43" s="635"/>
      <c r="B43" s="164" t="s">
        <v>15</v>
      </c>
      <c r="C43" s="164" t="s">
        <v>16</v>
      </c>
      <c r="D43" s="164" t="s">
        <v>17</v>
      </c>
      <c r="E43" s="164" t="s">
        <v>18</v>
      </c>
      <c r="F43" s="164" t="s">
        <v>19</v>
      </c>
      <c r="G43" s="165" t="s">
        <v>20</v>
      </c>
      <c r="I43" s="181" t="s">
        <v>15</v>
      </c>
      <c r="J43" s="164" t="s">
        <v>16</v>
      </c>
      <c r="K43" s="164" t="s">
        <v>17</v>
      </c>
      <c r="L43" s="164" t="s">
        <v>18</v>
      </c>
      <c r="M43" s="164" t="s">
        <v>19</v>
      </c>
      <c r="N43" s="165" t="s">
        <v>20</v>
      </c>
    </row>
    <row r="44" spans="1:33" ht="15" customHeight="1" x14ac:dyDescent="0.35">
      <c r="A44" s="222" t="s">
        <v>95</v>
      </c>
      <c r="B44" s="193">
        <f>B33/$C$33</f>
        <v>51.923901710899777</v>
      </c>
      <c r="C44" s="193">
        <f>C33/$C$33</f>
        <v>1</v>
      </c>
      <c r="D44" s="193"/>
      <c r="E44" s="193"/>
      <c r="F44" s="193"/>
      <c r="G44" s="196"/>
      <c r="I44" s="195">
        <f>I33/$K$33</f>
        <v>433.34177215189874</v>
      </c>
      <c r="J44" s="193">
        <f t="shared" ref="J44:K44" si="12">J33/$K$33</f>
        <v>209.36708860759495</v>
      </c>
      <c r="K44" s="193">
        <f t="shared" si="12"/>
        <v>1</v>
      </c>
      <c r="L44" s="193"/>
      <c r="M44" s="193"/>
      <c r="N44" s="196"/>
      <c r="P44" s="292"/>
      <c r="Q44" s="292"/>
      <c r="R44" s="292"/>
      <c r="S44" s="292"/>
      <c r="T44" s="292"/>
      <c r="U44" s="292"/>
    </row>
    <row r="45" spans="1:33" ht="15" customHeight="1" x14ac:dyDescent="0.35">
      <c r="A45" s="225" t="s">
        <v>96</v>
      </c>
      <c r="B45" s="194">
        <f t="shared" ref="B45:G49" si="13">B34/$G34</f>
        <v>27.578010537889387</v>
      </c>
      <c r="C45" s="194">
        <f t="shared" si="13"/>
        <v>14.576159945156524</v>
      </c>
      <c r="D45" s="194">
        <f t="shared" si="13"/>
        <v>4.6232077065574293</v>
      </c>
      <c r="E45" s="194">
        <f t="shared" si="13"/>
        <v>3.5349823837807159</v>
      </c>
      <c r="F45" s="194">
        <f t="shared" si="13"/>
        <v>1</v>
      </c>
      <c r="G45" s="198">
        <f t="shared" si="13"/>
        <v>1</v>
      </c>
      <c r="I45" s="197">
        <f t="shared" ref="I45:N49" si="14">I34/$N34</f>
        <v>920.25806451612902</v>
      </c>
      <c r="J45" s="194">
        <f t="shared" si="14"/>
        <v>398.16129032258061</v>
      </c>
      <c r="K45" s="194">
        <f t="shared" si="14"/>
        <v>150.74193548387098</v>
      </c>
      <c r="L45" s="194">
        <f t="shared" si="14"/>
        <v>86.516129032258078</v>
      </c>
      <c r="M45" s="194">
        <f t="shared" si="14"/>
        <v>3.8387096774193545</v>
      </c>
      <c r="N45" s="198">
        <f t="shared" si="14"/>
        <v>1</v>
      </c>
      <c r="P45" s="292"/>
      <c r="Q45" s="292"/>
      <c r="R45" s="292"/>
      <c r="S45" s="292"/>
      <c r="T45" s="292"/>
      <c r="U45" s="292"/>
    </row>
    <row r="46" spans="1:33" ht="15" customHeight="1" x14ac:dyDescent="0.35">
      <c r="A46" s="225" t="s">
        <v>97</v>
      </c>
      <c r="B46" s="194">
        <f t="shared" si="13"/>
        <v>380.00602061458432</v>
      </c>
      <c r="C46" s="194">
        <f t="shared" si="13"/>
        <v>200.91055774973509</v>
      </c>
      <c r="D46" s="194">
        <f t="shared" si="13"/>
        <v>75.399447708955478</v>
      </c>
      <c r="E46" s="194">
        <f t="shared" si="13"/>
        <v>53.129836560382749</v>
      </c>
      <c r="F46" s="194">
        <f t="shared" si="13"/>
        <v>1.123286131714992</v>
      </c>
      <c r="G46" s="198">
        <f t="shared" si="13"/>
        <v>1</v>
      </c>
      <c r="I46" s="197">
        <f t="shared" si="14"/>
        <v>934.62068965517244</v>
      </c>
      <c r="J46" s="194">
        <f t="shared" si="14"/>
        <v>410.13793103448279</v>
      </c>
      <c r="K46" s="194">
        <f t="shared" si="14"/>
        <v>162.9655172413793</v>
      </c>
      <c r="L46" s="194">
        <f t="shared" si="14"/>
        <v>94.448275862068968</v>
      </c>
      <c r="M46" s="194">
        <f t="shared" si="14"/>
        <v>4.2068965517241379</v>
      </c>
      <c r="N46" s="198">
        <f t="shared" si="14"/>
        <v>1</v>
      </c>
      <c r="P46" s="292"/>
      <c r="Q46" s="292"/>
      <c r="R46" s="292"/>
      <c r="S46" s="292"/>
      <c r="T46" s="292"/>
      <c r="U46" s="292"/>
    </row>
    <row r="47" spans="1:33" ht="15" customHeight="1" x14ac:dyDescent="0.35">
      <c r="A47" s="225" t="s">
        <v>98</v>
      </c>
      <c r="B47" s="194">
        <f t="shared" si="13"/>
        <v>315.65252402476546</v>
      </c>
      <c r="C47" s="194">
        <f t="shared" si="13"/>
        <v>179.01874501462376</v>
      </c>
      <c r="D47" s="194">
        <f t="shared" si="13"/>
        <v>47.128727162228891</v>
      </c>
      <c r="E47" s="194">
        <f t="shared" si="13"/>
        <v>28.71629885668705</v>
      </c>
      <c r="F47" s="194">
        <f t="shared" si="13"/>
        <v>1.1258024081741178</v>
      </c>
      <c r="G47" s="198">
        <f t="shared" si="13"/>
        <v>1</v>
      </c>
      <c r="I47" s="197">
        <f t="shared" si="14"/>
        <v>738.5</v>
      </c>
      <c r="J47" s="194">
        <f t="shared" si="14"/>
        <v>342</v>
      </c>
      <c r="K47" s="194">
        <f t="shared" si="14"/>
        <v>113.94999999999997</v>
      </c>
      <c r="L47" s="194">
        <f t="shared" si="14"/>
        <v>60.949999999999996</v>
      </c>
      <c r="M47" s="194">
        <f t="shared" si="14"/>
        <v>3.15</v>
      </c>
      <c r="N47" s="198">
        <f t="shared" si="14"/>
        <v>1</v>
      </c>
      <c r="P47" s="292"/>
      <c r="Q47" s="292"/>
      <c r="R47" s="292"/>
      <c r="S47" s="292"/>
      <c r="T47" s="292"/>
      <c r="U47" s="292"/>
    </row>
    <row r="48" spans="1:33" ht="15" customHeight="1" x14ac:dyDescent="0.35">
      <c r="A48" s="225" t="s">
        <v>99</v>
      </c>
      <c r="B48" s="194">
        <f t="shared" si="13"/>
        <v>270.4266883849142</v>
      </c>
      <c r="C48" s="194">
        <f t="shared" si="13"/>
        <v>162.94288936223532</v>
      </c>
      <c r="D48" s="194">
        <f t="shared" si="13"/>
        <v>53.084024558326028</v>
      </c>
      <c r="E48" s="194">
        <f t="shared" si="13"/>
        <v>34.595689763187572</v>
      </c>
      <c r="F48" s="194">
        <f t="shared" si="13"/>
        <v>1.135997995238692</v>
      </c>
      <c r="G48" s="198">
        <f t="shared" si="13"/>
        <v>1</v>
      </c>
      <c r="I48" s="197">
        <f t="shared" si="14"/>
        <v>819.59999999999991</v>
      </c>
      <c r="J48" s="194">
        <f t="shared" si="14"/>
        <v>364.66666666666669</v>
      </c>
      <c r="K48" s="194">
        <f t="shared" si="14"/>
        <v>128.73333333333332</v>
      </c>
      <c r="L48" s="194">
        <f t="shared" si="14"/>
        <v>70.86666666666666</v>
      </c>
      <c r="M48" s="194">
        <f t="shared" si="14"/>
        <v>3.6666666666666665</v>
      </c>
      <c r="N48" s="198">
        <f t="shared" si="14"/>
        <v>1</v>
      </c>
      <c r="P48" s="292"/>
      <c r="Q48" s="292"/>
      <c r="R48" s="292"/>
      <c r="S48" s="292"/>
      <c r="T48" s="292"/>
      <c r="U48" s="292"/>
    </row>
    <row r="49" spans="1:21" ht="15" customHeight="1" thickBot="1" x14ac:dyDescent="0.4">
      <c r="A49" s="228" t="s">
        <v>100</v>
      </c>
      <c r="B49" s="200">
        <f t="shared" si="13"/>
        <v>499.97837796828765</v>
      </c>
      <c r="C49" s="200">
        <f t="shared" si="13"/>
        <v>298.91358773992869</v>
      </c>
      <c r="D49" s="200">
        <f t="shared" si="13"/>
        <v>72.590622866246875</v>
      </c>
      <c r="E49" s="200">
        <f t="shared" si="13"/>
        <v>50.457552537743723</v>
      </c>
      <c r="F49" s="200">
        <f t="shared" si="13"/>
        <v>1.5005690008345347</v>
      </c>
      <c r="G49" s="201">
        <f t="shared" si="13"/>
        <v>1</v>
      </c>
      <c r="I49" s="199">
        <f t="shared" si="14"/>
        <v>1986</v>
      </c>
      <c r="J49" s="200">
        <f t="shared" si="14"/>
        <v>892.25000000000011</v>
      </c>
      <c r="K49" s="200">
        <f t="shared" si="14"/>
        <v>322.00000000000006</v>
      </c>
      <c r="L49" s="200">
        <f t="shared" si="14"/>
        <v>170.25</v>
      </c>
      <c r="M49" s="200">
        <f t="shared" si="14"/>
        <v>9</v>
      </c>
      <c r="N49" s="201">
        <f t="shared" si="14"/>
        <v>1</v>
      </c>
      <c r="P49" s="292"/>
      <c r="Q49" s="292"/>
      <c r="R49" s="292"/>
      <c r="S49" s="292"/>
      <c r="T49" s="292"/>
      <c r="U49" s="292"/>
    </row>
    <row r="71" spans="1:14" s="5" customFormat="1" ht="16.5" customHeight="1" x14ac:dyDescent="0.35">
      <c r="A71" s="5" t="s">
        <v>111</v>
      </c>
    </row>
    <row r="72" spans="1:14" ht="5.25" customHeight="1" thickBot="1" x14ac:dyDescent="0.4">
      <c r="A72" s="191"/>
      <c r="B72" s="192"/>
      <c r="C72" s="40"/>
    </row>
    <row r="73" spans="1:14" ht="18" customHeight="1" x14ac:dyDescent="0.35">
      <c r="A73" s="634" t="s">
        <v>50</v>
      </c>
      <c r="B73" s="162" t="s">
        <v>92</v>
      </c>
      <c r="C73" s="162"/>
      <c r="D73" s="162"/>
      <c r="E73" s="162"/>
      <c r="F73" s="162"/>
      <c r="G73" s="163"/>
      <c r="I73" s="581" t="s">
        <v>93</v>
      </c>
      <c r="J73" s="162"/>
      <c r="K73" s="162"/>
      <c r="L73" s="162"/>
      <c r="M73" s="162"/>
      <c r="N73" s="163"/>
    </row>
    <row r="74" spans="1:14" ht="18" customHeight="1" x14ac:dyDescent="0.35">
      <c r="A74" s="635"/>
      <c r="B74" s="164" t="s">
        <v>15</v>
      </c>
      <c r="C74" s="164" t="s">
        <v>16</v>
      </c>
      <c r="D74" s="164" t="s">
        <v>17</v>
      </c>
      <c r="E74" s="164" t="s">
        <v>18</v>
      </c>
      <c r="F74" s="164" t="s">
        <v>19</v>
      </c>
      <c r="G74" s="165" t="s">
        <v>20</v>
      </c>
      <c r="I74" s="181" t="s">
        <v>15</v>
      </c>
      <c r="J74" s="164" t="s">
        <v>16</v>
      </c>
      <c r="K74" s="164" t="s">
        <v>17</v>
      </c>
      <c r="L74" s="164" t="s">
        <v>18</v>
      </c>
      <c r="M74" s="164" t="s">
        <v>19</v>
      </c>
      <c r="N74" s="165" t="s">
        <v>20</v>
      </c>
    </row>
    <row r="75" spans="1:14" ht="18" customHeight="1" x14ac:dyDescent="0.35">
      <c r="A75" s="168" t="s">
        <v>10</v>
      </c>
      <c r="B75" s="193">
        <f t="shared" ref="B75:G79" si="15">B34/B$38</f>
        <v>2.2341351534054654</v>
      </c>
      <c r="C75" s="193">
        <f t="shared" si="15"/>
        <v>1.9751277925268658</v>
      </c>
      <c r="D75" s="193">
        <f t="shared" si="15"/>
        <v>2.5796489819892416</v>
      </c>
      <c r="E75" s="193">
        <f t="shared" si="15"/>
        <v>2.837649850168626</v>
      </c>
      <c r="F75" s="193">
        <f t="shared" si="15"/>
        <v>26.992416198998935</v>
      </c>
      <c r="G75" s="196">
        <f t="shared" si="15"/>
        <v>40.503983005841739</v>
      </c>
      <c r="I75" s="195">
        <f t="shared" ref="I75:N79" si="16">I34/I$38</f>
        <v>3.5911379657603226</v>
      </c>
      <c r="J75" s="193">
        <f t="shared" si="16"/>
        <v>3.4583917063603247</v>
      </c>
      <c r="K75" s="193">
        <f t="shared" si="16"/>
        <v>3.6281055900621118</v>
      </c>
      <c r="L75" s="193">
        <f t="shared" si="16"/>
        <v>3.9383259911894282</v>
      </c>
      <c r="M75" s="193">
        <f t="shared" si="16"/>
        <v>3.3055555555555554</v>
      </c>
      <c r="N75" s="196">
        <f t="shared" si="16"/>
        <v>7.7500000000000009</v>
      </c>
    </row>
    <row r="76" spans="1:14" ht="18" customHeight="1" x14ac:dyDescent="0.35">
      <c r="A76" s="171" t="s">
        <v>11</v>
      </c>
      <c r="B76" s="194">
        <f t="shared" si="15"/>
        <v>3.5915451923799151</v>
      </c>
      <c r="C76" s="194">
        <f t="shared" si="15"/>
        <v>3.1761366808968576</v>
      </c>
      <c r="D76" s="194">
        <f t="shared" si="15"/>
        <v>4.9082844472872038</v>
      </c>
      <c r="E76" s="194">
        <f t="shared" si="15"/>
        <v>4.9757022077010165</v>
      </c>
      <c r="F76" s="194">
        <f t="shared" si="15"/>
        <v>3.5373375802618936</v>
      </c>
      <c r="G76" s="198">
        <f t="shared" si="15"/>
        <v>4.7254381306425914</v>
      </c>
      <c r="I76" s="197">
        <f t="shared" si="16"/>
        <v>3.4118831822759317</v>
      </c>
      <c r="J76" s="194">
        <f t="shared" si="16"/>
        <v>3.3325861585878402</v>
      </c>
      <c r="K76" s="194">
        <f t="shared" si="16"/>
        <v>3.6692546583850931</v>
      </c>
      <c r="L76" s="194">
        <f t="shared" si="16"/>
        <v>4.0220264317180616</v>
      </c>
      <c r="M76" s="194">
        <f t="shared" si="16"/>
        <v>3.3888888888888888</v>
      </c>
      <c r="N76" s="198">
        <f t="shared" si="16"/>
        <v>7.25</v>
      </c>
    </row>
    <row r="77" spans="1:14" ht="18" customHeight="1" x14ac:dyDescent="0.35">
      <c r="A77" s="171" t="s">
        <v>12</v>
      </c>
      <c r="B77" s="194">
        <f t="shared" si="15"/>
        <v>2.5219765971216419</v>
      </c>
      <c r="C77" s="194">
        <f t="shared" si="15"/>
        <v>2.3924113827988975</v>
      </c>
      <c r="D77" s="194">
        <f t="shared" si="15"/>
        <v>2.5935116119383328</v>
      </c>
      <c r="E77" s="194">
        <f t="shared" si="15"/>
        <v>2.2734493993964642</v>
      </c>
      <c r="F77" s="194">
        <f t="shared" si="15"/>
        <v>2.9970170382729155</v>
      </c>
      <c r="G77" s="198">
        <f t="shared" si="15"/>
        <v>3.9946893255443441</v>
      </c>
      <c r="I77" s="197">
        <f t="shared" si="16"/>
        <v>1.8592648539778451</v>
      </c>
      <c r="J77" s="194">
        <f t="shared" si="16"/>
        <v>1.91650322219109</v>
      </c>
      <c r="K77" s="194">
        <f t="shared" si="16"/>
        <v>1.7694099378881984</v>
      </c>
      <c r="L77" s="194">
        <f t="shared" si="16"/>
        <v>1.7900146842878122</v>
      </c>
      <c r="M77" s="194">
        <f t="shared" si="16"/>
        <v>1.75</v>
      </c>
      <c r="N77" s="198">
        <f t="shared" si="16"/>
        <v>5.0000000000000009</v>
      </c>
    </row>
    <row r="78" spans="1:14" ht="18" customHeight="1" x14ac:dyDescent="0.35">
      <c r="A78" s="171" t="s">
        <v>13</v>
      </c>
      <c r="B78" s="194">
        <f t="shared" si="15"/>
        <v>1.6374848165044693</v>
      </c>
      <c r="C78" s="194">
        <f t="shared" si="15"/>
        <v>1.6503220828532126</v>
      </c>
      <c r="D78" s="194">
        <f t="shared" si="15"/>
        <v>2.2139217844164558</v>
      </c>
      <c r="E78" s="194">
        <f t="shared" si="15"/>
        <v>2.0757486682073312</v>
      </c>
      <c r="F78" s="194">
        <f t="shared" si="15"/>
        <v>2.2919257798675359</v>
      </c>
      <c r="G78" s="198">
        <f t="shared" si="15"/>
        <v>3.0274637736135341</v>
      </c>
      <c r="I78" s="197">
        <f t="shared" si="16"/>
        <v>1.547583081570997</v>
      </c>
      <c r="J78" s="194">
        <f t="shared" si="16"/>
        <v>1.5326421966937518</v>
      </c>
      <c r="K78" s="194">
        <f t="shared" si="16"/>
        <v>1.4992236024844718</v>
      </c>
      <c r="L78" s="194">
        <f t="shared" si="16"/>
        <v>1.5609397944199705</v>
      </c>
      <c r="M78" s="194">
        <f t="shared" si="16"/>
        <v>1.5277777777777779</v>
      </c>
      <c r="N78" s="198">
        <f t="shared" si="16"/>
        <v>3.7500000000000004</v>
      </c>
    </row>
    <row r="79" spans="1:14" ht="18" customHeight="1" thickBot="1" x14ac:dyDescent="0.4">
      <c r="A79" s="174" t="s">
        <v>14</v>
      </c>
      <c r="B79" s="283">
        <f t="shared" si="15"/>
        <v>1</v>
      </c>
      <c r="C79" s="283">
        <f t="shared" si="15"/>
        <v>1</v>
      </c>
      <c r="D79" s="283">
        <f t="shared" si="15"/>
        <v>1</v>
      </c>
      <c r="E79" s="283">
        <f t="shared" si="15"/>
        <v>1</v>
      </c>
      <c r="F79" s="283">
        <f t="shared" si="15"/>
        <v>1</v>
      </c>
      <c r="G79" s="284">
        <f t="shared" si="15"/>
        <v>1</v>
      </c>
      <c r="I79" s="285">
        <f t="shared" si="16"/>
        <v>1</v>
      </c>
      <c r="J79" s="283">
        <f t="shared" si="16"/>
        <v>1</v>
      </c>
      <c r="K79" s="283">
        <f t="shared" si="16"/>
        <v>1</v>
      </c>
      <c r="L79" s="283">
        <f t="shared" si="16"/>
        <v>1</v>
      </c>
      <c r="M79" s="283">
        <f t="shared" si="16"/>
        <v>1</v>
      </c>
      <c r="N79" s="284">
        <f t="shared" si="16"/>
        <v>1</v>
      </c>
    </row>
    <row r="81" spans="1:11" s="5" customFormat="1" ht="16.5" customHeight="1" x14ac:dyDescent="0.35">
      <c r="A81" s="5" t="s">
        <v>130</v>
      </c>
    </row>
    <row r="83" spans="1:11" s="388" customFormat="1" ht="16.5" customHeight="1" x14ac:dyDescent="0.35">
      <c r="A83" s="388" t="s">
        <v>131</v>
      </c>
    </row>
    <row r="84" spans="1:11" ht="5.25" customHeight="1" thickBot="1" x14ac:dyDescent="0.4"/>
    <row r="85" spans="1:11" ht="22.5" customHeight="1" x14ac:dyDescent="0.35">
      <c r="A85" s="634" t="s">
        <v>94</v>
      </c>
      <c r="B85" s="162" t="s">
        <v>126</v>
      </c>
      <c r="C85" s="162"/>
      <c r="D85" s="162"/>
      <c r="E85" s="636" t="s">
        <v>121</v>
      </c>
      <c r="I85" s="180" t="s">
        <v>223</v>
      </c>
      <c r="J85" s="162"/>
      <c r="K85" s="163"/>
    </row>
    <row r="86" spans="1:11" ht="25.5" x14ac:dyDescent="0.35">
      <c r="A86" s="635"/>
      <c r="B86" s="239" t="s">
        <v>92</v>
      </c>
      <c r="C86" s="239" t="s">
        <v>93</v>
      </c>
      <c r="D86" s="239" t="s">
        <v>4</v>
      </c>
      <c r="E86" s="637"/>
      <c r="I86" s="533" t="s">
        <v>92</v>
      </c>
      <c r="J86" s="239" t="s">
        <v>93</v>
      </c>
      <c r="K86" s="304" t="s">
        <v>4</v>
      </c>
    </row>
    <row r="87" spans="1:11" ht="18" customHeight="1" x14ac:dyDescent="0.35">
      <c r="A87" s="222" t="s">
        <v>95</v>
      </c>
      <c r="B87" s="240">
        <f>'VI. Diseño del Peaje 2.0 TD'!B78</f>
        <v>3013042.1486778823</v>
      </c>
      <c r="C87" s="240">
        <f>'VI. Diseño del Peaje 2.0 TD'!C78</f>
        <v>1004347.3828926274</v>
      </c>
      <c r="D87" s="241">
        <f>SUM(B87:C87)</f>
        <v>4017389.5315705095</v>
      </c>
      <c r="E87" s="244">
        <f>B87/D87</f>
        <v>0.75</v>
      </c>
      <c r="I87" s="549">
        <f>B87/'I. Datos de entrada'!$I106</f>
        <v>40.652863410987649</v>
      </c>
      <c r="J87" s="545">
        <f>C87/'I. Datos de entrada'!$I106</f>
        <v>13.550954470329215</v>
      </c>
      <c r="K87" s="550">
        <f>D87/'I. Datos de entrada'!$I106</f>
        <v>54.203817881316859</v>
      </c>
    </row>
    <row r="88" spans="1:11" ht="18" customHeight="1" x14ac:dyDescent="0.35">
      <c r="A88" s="225" t="s">
        <v>96</v>
      </c>
      <c r="B88" s="242">
        <f>'Va. Peajes transporte'!B91+'Vb. Peajes distribución'!B91</f>
        <v>578508.26808862959</v>
      </c>
      <c r="C88" s="242">
        <f>'Va. Peajes transporte'!C91+'Vb. Peajes distribución'!C91</f>
        <v>209941.2317862348</v>
      </c>
      <c r="D88" s="243">
        <f t="shared" ref="D88:D92" si="17">SUM(B88:C88)</f>
        <v>788449.49987486436</v>
      </c>
      <c r="E88" s="245">
        <f t="shared" ref="E88:E92" si="18">B88/D88</f>
        <v>0.73372900633514926</v>
      </c>
      <c r="I88" s="551">
        <f>B88/'I. Datos de entrada'!$I107</f>
        <v>16.721172188614251</v>
      </c>
      <c r="J88" s="546">
        <f>C88/'I. Datos de entrada'!$I107</f>
        <v>6.0681301890219341</v>
      </c>
      <c r="K88" s="552">
        <f>D88/'I. Datos de entrada'!$I107</f>
        <v>22.789302377636183</v>
      </c>
    </row>
    <row r="89" spans="1:11" ht="18" customHeight="1" x14ac:dyDescent="0.35">
      <c r="A89" s="225" t="s">
        <v>97</v>
      </c>
      <c r="B89" s="242">
        <f>'Va. Peajes transporte'!B92+'Vb. Peajes distribución'!B92</f>
        <v>853565.57382294536</v>
      </c>
      <c r="C89" s="242">
        <f>'Va. Peajes transporte'!C92+'Vb. Peajes distribución'!C92</f>
        <v>350526.08333296503</v>
      </c>
      <c r="D89" s="243">
        <f t="shared" si="17"/>
        <v>1204091.6571559105</v>
      </c>
      <c r="E89" s="245">
        <f t="shared" si="18"/>
        <v>0.70888754086967509</v>
      </c>
      <c r="I89" s="551">
        <f>B89/'I. Datos de entrada'!$I108</f>
        <v>12.616425003930175</v>
      </c>
      <c r="J89" s="546">
        <f>C89/'I. Datos de entrada'!$I108</f>
        <v>5.1810735787817341</v>
      </c>
      <c r="K89" s="552">
        <f>D89/'I. Datos de entrada'!$I108</f>
        <v>17.79749858271191</v>
      </c>
    </row>
    <row r="90" spans="1:11" ht="18" customHeight="1" x14ac:dyDescent="0.35">
      <c r="A90" s="225" t="s">
        <v>98</v>
      </c>
      <c r="B90" s="242">
        <f>'Va. Peajes transporte'!B93+'Vb. Peajes distribución'!B93</f>
        <v>146523.9866548322</v>
      </c>
      <c r="C90" s="242">
        <f>'Va. Peajes transporte'!C93+'Vb. Peajes distribución'!C93</f>
        <v>57324.136671981949</v>
      </c>
      <c r="D90" s="243">
        <f t="shared" si="17"/>
        <v>203848.12332681415</v>
      </c>
      <c r="E90" s="245">
        <f t="shared" si="18"/>
        <v>0.71878997100170239</v>
      </c>
      <c r="I90" s="551">
        <f>B90/'I. Datos de entrada'!$I109</f>
        <v>6.5758404103341555</v>
      </c>
      <c r="J90" s="546">
        <f>C90/'I. Datos de entrada'!$I109</f>
        <v>2.5726461791073949</v>
      </c>
      <c r="K90" s="552">
        <f>D90/'I. Datos de entrada'!$I109</f>
        <v>9.1484865894415499</v>
      </c>
    </row>
    <row r="91" spans="1:11" ht="18" customHeight="1" x14ac:dyDescent="0.35">
      <c r="A91" s="225" t="s">
        <v>99</v>
      </c>
      <c r="B91" s="242">
        <f>'Va. Peajes transporte'!B94+'Vb. Peajes distribución'!B94</f>
        <v>44686.035114135957</v>
      </c>
      <c r="C91" s="242">
        <f>'Va. Peajes transporte'!C94+'Vb. Peajes distribución'!C94</f>
        <v>19290.928299756833</v>
      </c>
      <c r="D91" s="243">
        <f t="shared" si="17"/>
        <v>63976.963413892794</v>
      </c>
      <c r="E91" s="245">
        <f t="shared" si="18"/>
        <v>0.69847071085640566</v>
      </c>
      <c r="I91" s="551">
        <f>B91/'I. Datos de entrada'!$I110</f>
        <v>4.383892091677847</v>
      </c>
      <c r="J91" s="546">
        <f>C91/'I. Datos de entrada'!$I110</f>
        <v>1.892522972745813</v>
      </c>
      <c r="K91" s="552">
        <f>D91/'I. Datos de entrada'!$I110</f>
        <v>6.2764150644236611</v>
      </c>
    </row>
    <row r="92" spans="1:11" ht="18" customHeight="1" thickBot="1" x14ac:dyDescent="0.4">
      <c r="A92" s="228" t="s">
        <v>100</v>
      </c>
      <c r="B92" s="246">
        <f>'Va. Peajes transporte'!B95+'Vb. Peajes distribución'!B95</f>
        <v>49646.750005240225</v>
      </c>
      <c r="C92" s="246">
        <f>'Va. Peajes transporte'!C95+'Vb. Peajes distribución'!C95</f>
        <v>21836.422486329498</v>
      </c>
      <c r="D92" s="247">
        <f t="shared" si="17"/>
        <v>71483.172491569727</v>
      </c>
      <c r="E92" s="248">
        <f t="shared" si="18"/>
        <v>0.69452359590077295</v>
      </c>
      <c r="I92" s="553">
        <f>B92/'I. Datos de entrada'!$I111</f>
        <v>2.6608109586665267</v>
      </c>
      <c r="J92" s="547">
        <f>C92/'I. Datos de entrada'!$I111</f>
        <v>1.1703201567789423</v>
      </c>
      <c r="K92" s="554">
        <f>D92/'I. Datos de entrada'!$I111</f>
        <v>3.8311311154454692</v>
      </c>
    </row>
    <row r="93" spans="1:11" ht="7.5" customHeight="1" thickBot="1" x14ac:dyDescent="0.4">
      <c r="I93" s="40"/>
      <c r="J93" s="40"/>
      <c r="K93" s="40"/>
    </row>
    <row r="94" spans="1:11" s="1" customFormat="1" ht="18" customHeight="1" thickBot="1" x14ac:dyDescent="0.4">
      <c r="A94" s="53" t="s">
        <v>4</v>
      </c>
      <c r="B94" s="377">
        <f>SUM(B87:B92)</f>
        <v>4685972.7623636648</v>
      </c>
      <c r="C94" s="377">
        <f>SUM(C87:C92)</f>
        <v>1663266.1854698954</v>
      </c>
      <c r="D94" s="378">
        <f>SUM(B94:C94)</f>
        <v>6349238.9478335604</v>
      </c>
      <c r="E94" s="379">
        <f>B94/D94</f>
        <v>0.73803692078128158</v>
      </c>
      <c r="I94" s="592">
        <f>B94/'I. Datos de entrada'!$I113</f>
        <v>20.597436179271387</v>
      </c>
      <c r="J94" s="548">
        <f>C94/'I. Datos de entrada'!$I113</f>
        <v>7.3109727353762182</v>
      </c>
      <c r="K94" s="593">
        <f>D94/'I. Datos de entrada'!$I113</f>
        <v>27.908408914647605</v>
      </c>
    </row>
    <row r="95" spans="1:11" s="1" customFormat="1" ht="18" customHeight="1" x14ac:dyDescent="0.35">
      <c r="A95" s="270"/>
      <c r="B95" s="271"/>
      <c r="C95" s="271"/>
      <c r="D95" s="272">
        <f>D94-SUM('I. Datos de entrada'!$C$14,'I. Datos de entrada'!$C$31)</f>
        <v>0</v>
      </c>
      <c r="E95" s="273"/>
    </row>
    <row r="96" spans="1:11" s="388" customFormat="1" ht="16.5" customHeight="1" x14ac:dyDescent="0.35">
      <c r="A96" s="388" t="s">
        <v>132</v>
      </c>
    </row>
    <row r="97" spans="1:11" ht="4.5" customHeight="1" thickBot="1" x14ac:dyDescent="0.45">
      <c r="A97" s="55"/>
    </row>
    <row r="98" spans="1:11" ht="22.5" customHeight="1" x14ac:dyDescent="0.35">
      <c r="A98" s="634" t="s">
        <v>94</v>
      </c>
      <c r="B98" s="162" t="s">
        <v>126</v>
      </c>
      <c r="C98" s="162"/>
      <c r="D98" s="162"/>
      <c r="E98" s="636" t="s">
        <v>128</v>
      </c>
      <c r="I98" s="180" t="s">
        <v>223</v>
      </c>
      <c r="J98" s="162"/>
      <c r="K98" s="163"/>
    </row>
    <row r="99" spans="1:11" ht="18.75" customHeight="1" x14ac:dyDescent="0.35">
      <c r="A99" s="635"/>
      <c r="B99" s="239" t="s">
        <v>2</v>
      </c>
      <c r="C99" s="239" t="s">
        <v>127</v>
      </c>
      <c r="D99" s="239" t="s">
        <v>4</v>
      </c>
      <c r="E99" s="637"/>
      <c r="I99" s="533" t="s">
        <v>2</v>
      </c>
      <c r="J99" s="239" t="s">
        <v>127</v>
      </c>
      <c r="K99" s="304" t="s">
        <v>4</v>
      </c>
    </row>
    <row r="100" spans="1:11" ht="18" customHeight="1" x14ac:dyDescent="0.35">
      <c r="A100" s="222" t="s">
        <v>95</v>
      </c>
      <c r="B100" s="240">
        <f>'VI. Diseño del Peaje 2.0 TD'!D76</f>
        <v>505578.35597533442</v>
      </c>
      <c r="C100" s="240">
        <f>'VI. Diseño del Peaje 2.0 TD'!D77</f>
        <v>3511811.1755951755</v>
      </c>
      <c r="D100" s="241">
        <f>SUM(B100:C100)</f>
        <v>4017389.53157051</v>
      </c>
      <c r="E100" s="244">
        <f t="shared" ref="E100:E105" si="19">B100/D100</f>
        <v>0.12584748180435709</v>
      </c>
      <c r="F100" s="238"/>
      <c r="G100" s="40"/>
      <c r="I100" s="549">
        <f>B100/'I. Datos de entrada'!$I106</f>
        <v>6.8214139845457105</v>
      </c>
      <c r="J100" s="545">
        <f>C100/'I. Datos de entrada'!$I106</f>
        <v>47.382403896771159</v>
      </c>
      <c r="K100" s="550">
        <f>D100/'I. Datos de entrada'!$I106</f>
        <v>54.203817881316866</v>
      </c>
    </row>
    <row r="101" spans="1:11" ht="18" customHeight="1" x14ac:dyDescent="0.35">
      <c r="A101" s="225" t="s">
        <v>96</v>
      </c>
      <c r="B101" s="242">
        <f>'Va. Peajes transporte'!D91</f>
        <v>111836.0985043612</v>
      </c>
      <c r="C101" s="242">
        <f>'Vb. Peajes distribución'!D91</f>
        <v>676613.40137050324</v>
      </c>
      <c r="D101" s="243">
        <f t="shared" ref="D101:D105" si="20">SUM(B101:C101)</f>
        <v>788449.49987486447</v>
      </c>
      <c r="E101" s="245">
        <f t="shared" si="19"/>
        <v>0.14184307114420239</v>
      </c>
      <c r="F101" s="238"/>
      <c r="G101" s="40"/>
      <c r="I101" s="551">
        <f>B101/'I. Datos de entrada'!$I107</f>
        <v>3.2325046384777907</v>
      </c>
      <c r="J101" s="546">
        <f>C101/'I. Datos de entrada'!$I107</f>
        <v>19.556797739158394</v>
      </c>
      <c r="K101" s="552">
        <f>D101/'I. Datos de entrada'!$I107</f>
        <v>22.789302377636186</v>
      </c>
    </row>
    <row r="102" spans="1:11" ht="18" customHeight="1" x14ac:dyDescent="0.35">
      <c r="A102" s="225" t="s">
        <v>97</v>
      </c>
      <c r="B102" s="242">
        <f>'Va. Peajes transporte'!D92</f>
        <v>265852.14739102853</v>
      </c>
      <c r="C102" s="242">
        <f>'Vb. Peajes distribución'!D92</f>
        <v>938239.5097648818</v>
      </c>
      <c r="D102" s="243">
        <f t="shared" si="20"/>
        <v>1204091.6571559103</v>
      </c>
      <c r="E102" s="245">
        <f t="shared" ref="E102:E104" si="21">B102/D102</f>
        <v>0.22079062321466197</v>
      </c>
      <c r="F102" s="238"/>
      <c r="G102" s="40"/>
      <c r="I102" s="551">
        <f>B102/'I. Datos de entrada'!$I108</f>
        <v>3.9295208037390252</v>
      </c>
      <c r="J102" s="546">
        <f>C102/'I. Datos de entrada'!$I108</f>
        <v>13.867977778972884</v>
      </c>
      <c r="K102" s="552">
        <f>D102/'I. Datos de entrada'!$I108</f>
        <v>17.797498582711906</v>
      </c>
    </row>
    <row r="103" spans="1:11" ht="18" customHeight="1" x14ac:dyDescent="0.35">
      <c r="A103" s="225" t="s">
        <v>98</v>
      </c>
      <c r="B103" s="242">
        <f>'Va. Peajes transporte'!D93</f>
        <v>71668.690384565882</v>
      </c>
      <c r="C103" s="242">
        <f>'Vb. Peajes distribución'!D93</f>
        <v>132179.43294224827</v>
      </c>
      <c r="D103" s="243">
        <f t="shared" si="20"/>
        <v>203848.12332681415</v>
      </c>
      <c r="E103" s="245">
        <f t="shared" si="21"/>
        <v>0.35157885790130594</v>
      </c>
      <c r="F103" s="238"/>
      <c r="G103" s="40"/>
      <c r="I103" s="551">
        <f>B103/'I. Datos de entrada'!$I109</f>
        <v>3.216414466641274</v>
      </c>
      <c r="J103" s="546">
        <f>C103/'I. Datos de entrada'!$I109</f>
        <v>5.9320721228002764</v>
      </c>
      <c r="K103" s="552">
        <f>D103/'I. Datos de entrada'!$I109</f>
        <v>9.1484865894415499</v>
      </c>
    </row>
    <row r="104" spans="1:11" ht="18" customHeight="1" x14ac:dyDescent="0.35">
      <c r="A104" s="225" t="s">
        <v>99</v>
      </c>
      <c r="B104" s="242">
        <f>'Va. Peajes transporte'!D94</f>
        <v>30549.470756118528</v>
      </c>
      <c r="C104" s="242">
        <f>'Vb. Peajes distribución'!D94</f>
        <v>33427.492657774266</v>
      </c>
      <c r="D104" s="243">
        <f t="shared" si="20"/>
        <v>63976.963413892794</v>
      </c>
      <c r="E104" s="245">
        <f t="shared" si="21"/>
        <v>0.47750735774190584</v>
      </c>
      <c r="F104" s="238"/>
      <c r="G104" s="40"/>
      <c r="I104" s="551">
        <f>B104/'I. Datos de entrada'!$I110</f>
        <v>2.997034373504436</v>
      </c>
      <c r="J104" s="546">
        <f>C104/'I. Datos de entrada'!$I110</f>
        <v>3.2793806909192247</v>
      </c>
      <c r="K104" s="552">
        <f>D104/'I. Datos de entrada'!$I110</f>
        <v>6.2764150644236611</v>
      </c>
    </row>
    <row r="105" spans="1:11" ht="18" customHeight="1" thickBot="1" x14ac:dyDescent="0.4">
      <c r="A105" s="228" t="s">
        <v>100</v>
      </c>
      <c r="B105" s="246">
        <f>'Va. Peajes transporte'!D95</f>
        <v>71483.172491569727</v>
      </c>
      <c r="C105" s="246">
        <f>'Vb. Peajes distribución'!D95</f>
        <v>0</v>
      </c>
      <c r="D105" s="247">
        <f t="shared" si="20"/>
        <v>71483.172491569727</v>
      </c>
      <c r="E105" s="248">
        <f t="shared" si="19"/>
        <v>1</v>
      </c>
      <c r="F105" s="238"/>
      <c r="G105" s="40"/>
      <c r="I105" s="553">
        <f>B105/'I. Datos de entrada'!$I111</f>
        <v>3.8311311154454692</v>
      </c>
      <c r="J105" s="547">
        <f>C105/'I. Datos de entrada'!$I111</f>
        <v>0</v>
      </c>
      <c r="K105" s="554">
        <f>D105/'I. Datos de entrada'!$I111</f>
        <v>3.8311311154454692</v>
      </c>
    </row>
    <row r="106" spans="1:11" ht="7.5" customHeight="1" thickBot="1" x14ac:dyDescent="0.4">
      <c r="I106" s="40"/>
      <c r="J106" s="40"/>
      <c r="K106" s="40"/>
    </row>
    <row r="107" spans="1:11" s="1" customFormat="1" ht="18" customHeight="1" thickBot="1" x14ac:dyDescent="0.4">
      <c r="A107" s="53" t="s">
        <v>4</v>
      </c>
      <c r="B107" s="377">
        <f>SUM(B100:B105)</f>
        <v>1056967.9355029783</v>
      </c>
      <c r="C107" s="377">
        <f>SUM(C100:C105)</f>
        <v>5292271.0123305824</v>
      </c>
      <c r="D107" s="378">
        <f>SUM(B107:C107)</f>
        <v>6349238.9478335604</v>
      </c>
      <c r="E107" s="379">
        <f>B107/D107</f>
        <v>0.16647159512930743</v>
      </c>
      <c r="G107" s="40"/>
      <c r="I107" s="592">
        <f>B107/'I. Datos de entrada'!$I113</f>
        <v>4.6459573495423694</v>
      </c>
      <c r="J107" s="548">
        <f>C107/'I. Datos de entrada'!$I113</f>
        <v>23.262451565105234</v>
      </c>
      <c r="K107" s="593">
        <f>D107/'I. Datos de entrada'!$I113</f>
        <v>27.908408914647605</v>
      </c>
    </row>
    <row r="108" spans="1:11" x14ac:dyDescent="0.35">
      <c r="B108" s="287"/>
      <c r="C108" s="287"/>
      <c r="D108" s="238"/>
      <c r="E108" s="293"/>
    </row>
    <row r="109" spans="1:11" x14ac:dyDescent="0.35">
      <c r="B109" s="238"/>
      <c r="C109" s="238"/>
      <c r="D109" s="238"/>
    </row>
  </sheetData>
  <mergeCells count="9">
    <mergeCell ref="A9:A10"/>
    <mergeCell ref="A98:A99"/>
    <mergeCell ref="A31:A32"/>
    <mergeCell ref="A85:A86"/>
    <mergeCell ref="E85:E86"/>
    <mergeCell ref="E98:E99"/>
    <mergeCell ref="A42:A43"/>
    <mergeCell ref="A73:A74"/>
    <mergeCell ref="A19:A20"/>
  </mergeCells>
  <pageMargins left="0.7" right="0.7" top="0.75" bottom="0.75" header="0.3" footer="0.3"/>
  <pageSetup paperSize="9" scale="53" orientation="portrait" r:id="rId1"/>
  <headerFooter>
    <oddFooter>&amp;C_x000D_&amp;1#&amp;"Calibri"&amp;10&amp;K000000 INTERNA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D5E7-6AF5-43FB-8867-87D0768F143E}">
  <dimension ref="A1:N41"/>
  <sheetViews>
    <sheetView showGridLines="0" topLeftCell="A24" workbookViewId="0">
      <selection activeCell="I37" sqref="I37:N41"/>
    </sheetView>
  </sheetViews>
  <sheetFormatPr baseColWidth="10" defaultRowHeight="12.75" x14ac:dyDescent="0.35"/>
  <cols>
    <col min="2" max="5" width="12.86328125" bestFit="1" customWidth="1"/>
    <col min="6" max="6" width="11.86328125" bestFit="1" customWidth="1"/>
    <col min="7" max="7" width="12.86328125" bestFit="1" customWidth="1"/>
  </cols>
  <sheetData>
    <row r="1" spans="1:7" s="1" customFormat="1" x14ac:dyDescent="0.35"/>
    <row r="2" spans="1:7" s="1" customFormat="1" x14ac:dyDescent="0.35"/>
    <row r="3" spans="1:7" s="1" customFormat="1" x14ac:dyDescent="0.35"/>
    <row r="4" spans="1:7" s="1" customFormat="1" x14ac:dyDescent="0.35"/>
    <row r="5" spans="1:7" s="1" customFormat="1" x14ac:dyDescent="0.35"/>
    <row r="6" spans="1:7" s="366" customFormat="1" ht="44.25" customHeight="1" x14ac:dyDescent="0.35">
      <c r="A6" s="646" t="s">
        <v>202</v>
      </c>
      <c r="B6" s="646"/>
      <c r="C6" s="646"/>
      <c r="D6" s="646"/>
      <c r="E6" s="646"/>
      <c r="F6" s="646"/>
      <c r="G6" s="646"/>
    </row>
    <row r="7" spans="1:7" ht="10.5" customHeight="1" thickBot="1" x14ac:dyDescent="0.4"/>
    <row r="8" spans="1:7" ht="25.5" customHeight="1" thickBot="1" x14ac:dyDescent="0.4">
      <c r="B8" s="582" t="s">
        <v>93</v>
      </c>
      <c r="C8" s="583"/>
      <c r="D8" s="583"/>
      <c r="E8" s="583"/>
      <c r="F8" s="583"/>
      <c r="G8" s="584"/>
    </row>
    <row r="9" spans="1:7" ht="13.15" thickBot="1" x14ac:dyDescent="0.4"/>
    <row r="10" spans="1:7" ht="30" customHeight="1" x14ac:dyDescent="0.35">
      <c r="A10" s="644" t="s">
        <v>50</v>
      </c>
      <c r="B10" s="585" t="s">
        <v>133</v>
      </c>
      <c r="C10" s="585"/>
      <c r="D10" s="585"/>
      <c r="E10" s="585"/>
      <c r="F10" s="585"/>
      <c r="G10" s="586"/>
    </row>
    <row r="11" spans="1:7" ht="30" customHeight="1" x14ac:dyDescent="0.35">
      <c r="A11" s="645"/>
      <c r="B11" s="587" t="s">
        <v>15</v>
      </c>
      <c r="C11" s="587" t="s">
        <v>16</v>
      </c>
      <c r="D11" s="587" t="s">
        <v>17</v>
      </c>
      <c r="E11" s="587" t="s">
        <v>18</v>
      </c>
      <c r="F11" s="587" t="s">
        <v>19</v>
      </c>
      <c r="G11" s="588" t="s">
        <v>20</v>
      </c>
    </row>
    <row r="12" spans="1:7" ht="15" customHeight="1" x14ac:dyDescent="0.35">
      <c r="A12" s="168" t="s">
        <v>10</v>
      </c>
      <c r="B12" s="278">
        <f>'IV. Metodología de asignación'!J85</f>
        <v>0</v>
      </c>
      <c r="C12" s="169">
        <f>'IV. Metodología de asignación'!K85</f>
        <v>0</v>
      </c>
      <c r="D12" s="169">
        <f>'IV. Metodología de asignación'!L85</f>
        <v>0</v>
      </c>
      <c r="E12" s="169">
        <f>'IV. Metodología de asignación'!M85</f>
        <v>0</v>
      </c>
      <c r="F12" s="169">
        <f>'IV. Metodología de asignación'!N85</f>
        <v>0</v>
      </c>
      <c r="G12" s="170">
        <f>'IV. Metodología de asignación'!O85</f>
        <v>0</v>
      </c>
    </row>
    <row r="13" spans="1:7" ht="15" customHeight="1" x14ac:dyDescent="0.35">
      <c r="A13" s="171" t="s">
        <v>11</v>
      </c>
      <c r="B13" s="279">
        <f>'IV. Metodología de asignación'!J86</f>
        <v>100367.45117492654</v>
      </c>
      <c r="C13" s="172">
        <f>'IV. Metodología de asignación'!K86</f>
        <v>52808.467571271984</v>
      </c>
      <c r="D13" s="172">
        <f>'IV. Metodología de asignación'!L86</f>
        <v>22683.644128644853</v>
      </c>
      <c r="E13" s="172">
        <f>'IV. Metodología de asignación'!M86</f>
        <v>15493.705735570129</v>
      </c>
      <c r="F13" s="172">
        <f>'IV. Metodología de asignación'!N86</f>
        <v>254.07538474157167</v>
      </c>
      <c r="G13" s="173">
        <f>'IV. Metodología de asignación'!O86</f>
        <v>455.44914957468421</v>
      </c>
    </row>
    <row r="14" spans="1:7" ht="15" customHeight="1" x14ac:dyDescent="0.35">
      <c r="A14" s="171" t="s">
        <v>12</v>
      </c>
      <c r="B14" s="279">
        <f>'IV. Metodología de asignación'!J88</f>
        <v>15374.094660070106</v>
      </c>
      <c r="C14" s="172">
        <f>'IV. Metodología de asignación'!K88</f>
        <v>9913.1079161700109</v>
      </c>
      <c r="D14" s="172">
        <f>'IV. Metodología de asignación'!L88</f>
        <v>2915.6880232987151</v>
      </c>
      <c r="E14" s="172">
        <f>'IV. Metodología de asignación'!M88</f>
        <v>1801.1729529547395</v>
      </c>
      <c r="F14" s="172">
        <f>'IV. Metodología de asignación'!N88</f>
        <v>41.678024390439155</v>
      </c>
      <c r="G14" s="173">
        <f>'IV. Metodología de asignación'!O88</f>
        <v>158.55161793046722</v>
      </c>
    </row>
    <row r="15" spans="1:7" ht="15" customHeight="1" x14ac:dyDescent="0.35">
      <c r="A15" s="171" t="s">
        <v>13</v>
      </c>
      <c r="B15" s="279">
        <f>'IV. Metodología de asignación'!J91</f>
        <v>5145.3603837501869</v>
      </c>
      <c r="C15" s="172">
        <f>'IV. Metodología de asignación'!K91</f>
        <v>3238.6344256771272</v>
      </c>
      <c r="D15" s="172">
        <f>'IV. Metodología de asignación'!L91</f>
        <v>1091.2626919283093</v>
      </c>
      <c r="E15" s="172">
        <f>'IV. Metodología de asignación'!M91</f>
        <v>714.44905751235456</v>
      </c>
      <c r="F15" s="172">
        <f>'IV. Metodología de asignación'!N91</f>
        <v>15.7061794820037</v>
      </c>
      <c r="G15" s="173">
        <f>'IV. Metodología de asignación'!O91</f>
        <v>64.884855088994726</v>
      </c>
    </row>
    <row r="16" spans="1:7" ht="15" customHeight="1" thickBot="1" x14ac:dyDescent="0.4">
      <c r="A16" s="174" t="s">
        <v>14</v>
      </c>
      <c r="B16" s="280">
        <f>'IV. Metodología de asignación'!J95</f>
        <v>11161.168574759626</v>
      </c>
      <c r="C16" s="274">
        <f>'IV. Metodología de asignación'!K95</f>
        <v>6772.0006424693374</v>
      </c>
      <c r="D16" s="274">
        <f>'IV. Metodología de asignación'!L95</f>
        <v>2374.0326347549508</v>
      </c>
      <c r="E16" s="274">
        <f>'IV. Metodología de asignación'!M95</f>
        <v>1457.1330851489604</v>
      </c>
      <c r="F16" s="274">
        <f>'IV. Metodología de asignación'!N95</f>
        <v>35.554966228381353</v>
      </c>
      <c r="G16" s="275">
        <f>'IV. Metodología de asignación'!O95</f>
        <v>36.532582968241023</v>
      </c>
    </row>
    <row r="17" spans="1:9" ht="13.15" thickBot="1" x14ac:dyDescent="0.4">
      <c r="G17" s="217"/>
    </row>
    <row r="18" spans="1:9" ht="24" customHeight="1" x14ac:dyDescent="0.35">
      <c r="A18" s="644" t="s">
        <v>50</v>
      </c>
      <c r="B18" s="585" t="s">
        <v>109</v>
      </c>
      <c r="C18" s="585"/>
      <c r="D18" s="585"/>
      <c r="E18" s="585"/>
      <c r="F18" s="585"/>
      <c r="G18" s="586"/>
    </row>
    <row r="19" spans="1:9" ht="24" customHeight="1" x14ac:dyDescent="0.35">
      <c r="A19" s="645"/>
      <c r="B19" s="587" t="s">
        <v>15</v>
      </c>
      <c r="C19" s="587" t="s">
        <v>16</v>
      </c>
      <c r="D19" s="587" t="s">
        <v>17</v>
      </c>
      <c r="E19" s="587" t="s">
        <v>18</v>
      </c>
      <c r="F19" s="587" t="s">
        <v>19</v>
      </c>
      <c r="G19" s="588" t="s">
        <v>20</v>
      </c>
    </row>
    <row r="20" spans="1:9" ht="15" customHeight="1" x14ac:dyDescent="0.35">
      <c r="A20" s="168" t="s">
        <v>10</v>
      </c>
      <c r="B20" s="278">
        <f>('I. Datos de entrada'!C106+'I. Datos de entrada'!C107)*1000</f>
        <v>12341198.349407114</v>
      </c>
      <c r="C20" s="169">
        <f>('I. Datos de entrada'!D106+'I. Datos de entrada'!D107)*1000</f>
        <v>14697986.811927935</v>
      </c>
      <c r="D20" s="169">
        <f>('I. Datos de entrada'!E106+'I. Datos de entrada'!E107)*1000</f>
        <v>12568837.120157514</v>
      </c>
      <c r="E20" s="169">
        <f>('I. Datos de entrada'!F106+'I. Datos de entrada'!F107)*1000</f>
        <v>13764382.707667282</v>
      </c>
      <c r="F20" s="169">
        <f>('I. Datos de entrada'!G106+'I. Datos de entrada'!G107)*1000</f>
        <v>5349328.6281975172</v>
      </c>
      <c r="G20" s="170">
        <f>('I. Datos de entrada'!H106+'I. Datos de entrada'!H107)*1000</f>
        <v>49991974.938067272</v>
      </c>
    </row>
    <row r="21" spans="1:9" ht="15" customHeight="1" x14ac:dyDescent="0.35">
      <c r="A21" s="171" t="s">
        <v>11</v>
      </c>
      <c r="B21" s="279">
        <f>'I. Datos de entrada'!C108*1000</f>
        <v>6848156.9507509321</v>
      </c>
      <c r="C21" s="172">
        <f>'I. Datos de entrada'!D108*1000</f>
        <v>8450421.4268585853</v>
      </c>
      <c r="D21" s="172">
        <f>'I. Datos de entrada'!E108*1000</f>
        <v>8087709.1897386163</v>
      </c>
      <c r="E21" s="172">
        <f>'I. Datos de entrada'!F108*1000</f>
        <v>9053371.0894941799</v>
      </c>
      <c r="F21" s="172">
        <f>'I. Datos de entrada'!G108*1000</f>
        <v>3705607.647880564</v>
      </c>
      <c r="G21" s="173">
        <f>'I. Datos de entrada'!H108*1000</f>
        <v>31509839.92045968</v>
      </c>
    </row>
    <row r="22" spans="1:9" ht="15" customHeight="1" x14ac:dyDescent="0.35">
      <c r="A22" s="171" t="s">
        <v>12</v>
      </c>
      <c r="B22" s="279">
        <f>'I. Datos de entrada'!C109*1000</f>
        <v>2011334.2901966935</v>
      </c>
      <c r="C22" s="172">
        <f>'I. Datos de entrada'!D109*1000</f>
        <v>2666298.890584114</v>
      </c>
      <c r="D22" s="172">
        <f>'I. Datos de entrada'!E109*1000</f>
        <v>2472568.8326571281</v>
      </c>
      <c r="E22" s="172">
        <f>'I. Datos de entrada'!F109*1000</f>
        <v>2827672.6651716656</v>
      </c>
      <c r="F22" s="172">
        <f>'I. Datos de entrada'!G109*1000</f>
        <v>1222588.3079063608</v>
      </c>
      <c r="G22" s="173">
        <f>'I. Datos de entrada'!H109*1000</f>
        <v>11081705.909274878</v>
      </c>
    </row>
    <row r="23" spans="1:9" ht="15" customHeight="1" x14ac:dyDescent="0.35">
      <c r="A23" s="171" t="s">
        <v>13</v>
      </c>
      <c r="B23" s="279">
        <f>'I. Datos de entrada'!C110*1000</f>
        <v>804284.34440025117</v>
      </c>
      <c r="C23" s="172">
        <f>'I. Datos de entrada'!D110*1000</f>
        <v>1090032.909878527</v>
      </c>
      <c r="D23" s="172">
        <f>'I. Datos de entrada'!E110*1000</f>
        <v>1055636.0161004248</v>
      </c>
      <c r="E23" s="172">
        <f>'I. Datos de entrada'!F110*1000</f>
        <v>1216829.3768650456</v>
      </c>
      <c r="F23" s="172">
        <f>'I. Datos de entrada'!G110*1000</f>
        <v>531420.75046180305</v>
      </c>
      <c r="G23" s="173">
        <f>'I. Datos de entrada'!H110*1000</f>
        <v>5495029.961975771</v>
      </c>
    </row>
    <row r="24" spans="1:9" ht="15" customHeight="1" thickBot="1" x14ac:dyDescent="0.4">
      <c r="A24" s="174" t="s">
        <v>14</v>
      </c>
      <c r="B24" s="280">
        <f>'I. Datos de entrada'!C111*1000</f>
        <v>1404988.3754370422</v>
      </c>
      <c r="C24" s="274">
        <f>'I. Datos de entrada'!D111*1000</f>
        <v>1897686.395701871</v>
      </c>
      <c r="D24" s="274">
        <f>'I. Datos de entrada'!E111*1000</f>
        <v>1842684.9653404776</v>
      </c>
      <c r="E24" s="274">
        <f>'I. Datos de entrada'!F111*1000</f>
        <v>2139388.6995427618</v>
      </c>
      <c r="F24" s="274">
        <f>'I. Datos de entrada'!G111*1000</f>
        <v>990493.6198667516</v>
      </c>
      <c r="G24" s="275">
        <f>'I. Datos de entrada'!H111*1000</f>
        <v>10383261.226178467</v>
      </c>
    </row>
    <row r="25" spans="1:9" ht="15" customHeight="1" thickBot="1" x14ac:dyDescent="0.4">
      <c r="A25" s="489"/>
      <c r="B25" s="488"/>
      <c r="C25" s="488"/>
      <c r="D25" s="488"/>
      <c r="E25" s="488"/>
      <c r="F25" s="488"/>
      <c r="G25" s="490"/>
    </row>
    <row r="26" spans="1:9" ht="30" customHeight="1" x14ac:dyDescent="0.35">
      <c r="A26" s="644" t="s">
        <v>50</v>
      </c>
      <c r="B26" s="585" t="s">
        <v>134</v>
      </c>
      <c r="C26" s="585"/>
      <c r="D26" s="585"/>
      <c r="E26" s="585"/>
      <c r="F26" s="585"/>
      <c r="G26" s="586"/>
    </row>
    <row r="27" spans="1:9" ht="30" customHeight="1" x14ac:dyDescent="0.35">
      <c r="A27" s="645"/>
      <c r="B27" s="587" t="s">
        <v>15</v>
      </c>
      <c r="C27" s="587" t="s">
        <v>16</v>
      </c>
      <c r="D27" s="587" t="s">
        <v>17</v>
      </c>
      <c r="E27" s="587" t="s">
        <v>18</v>
      </c>
      <c r="F27" s="587" t="s">
        <v>19</v>
      </c>
      <c r="G27" s="588" t="s">
        <v>20</v>
      </c>
    </row>
    <row r="28" spans="1:9" ht="15" customHeight="1" x14ac:dyDescent="0.35">
      <c r="A28" s="168" t="s">
        <v>10</v>
      </c>
      <c r="B28" s="281">
        <f>B12/B20</f>
        <v>0</v>
      </c>
      <c r="C28" s="209">
        <f t="shared" ref="C28:G28" si="0">C12/C20</f>
        <v>0</v>
      </c>
      <c r="D28" s="209">
        <f t="shared" si="0"/>
        <v>0</v>
      </c>
      <c r="E28" s="209">
        <f t="shared" si="0"/>
        <v>0</v>
      </c>
      <c r="F28" s="209">
        <f t="shared" si="0"/>
        <v>0</v>
      </c>
      <c r="G28" s="210">
        <f t="shared" si="0"/>
        <v>0</v>
      </c>
      <c r="H28" s="369"/>
      <c r="I28" s="369"/>
    </row>
    <row r="29" spans="1:9" ht="15" customHeight="1" x14ac:dyDescent="0.35">
      <c r="A29" s="171" t="s">
        <v>11</v>
      </c>
      <c r="B29" s="282">
        <f t="shared" ref="B29:F29" si="1">B13/B21</f>
        <v>1.4656126005394895E-2</v>
      </c>
      <c r="C29" s="282">
        <f t="shared" si="1"/>
        <v>6.2492111225869772E-3</v>
      </c>
      <c r="D29" s="282">
        <f t="shared" si="1"/>
        <v>2.8047057079432351E-3</v>
      </c>
      <c r="E29" s="282">
        <f t="shared" si="1"/>
        <v>1.7113742033119043E-3</v>
      </c>
      <c r="F29" s="492">
        <f t="shared" si="1"/>
        <v>6.8565106963466843E-5</v>
      </c>
      <c r="G29" s="493">
        <f>G13/G21</f>
        <v>1.4454187984590685E-5</v>
      </c>
      <c r="H29" s="369"/>
      <c r="I29" s="369"/>
    </row>
    <row r="30" spans="1:9" ht="15" customHeight="1" x14ac:dyDescent="0.35">
      <c r="A30" s="171" t="s">
        <v>12</v>
      </c>
      <c r="B30" s="282">
        <f t="shared" ref="B30:G30" si="2">B14/B22</f>
        <v>7.6437292075235462E-3</v>
      </c>
      <c r="C30" s="282">
        <f t="shared" si="2"/>
        <v>3.7179282304686842E-3</v>
      </c>
      <c r="D30" s="282">
        <f t="shared" si="2"/>
        <v>1.1792140970107562E-3</v>
      </c>
      <c r="E30" s="282">
        <f t="shared" si="2"/>
        <v>6.36980713906428E-4</v>
      </c>
      <c r="F30" s="492">
        <f t="shared" si="2"/>
        <v>3.4089990981356021E-5</v>
      </c>
      <c r="G30" s="493">
        <f t="shared" si="2"/>
        <v>1.4307509983437371E-5</v>
      </c>
      <c r="H30" s="369"/>
      <c r="I30" s="369"/>
    </row>
    <row r="31" spans="1:9" ht="15" customHeight="1" x14ac:dyDescent="0.35">
      <c r="A31" s="171" t="s">
        <v>13</v>
      </c>
      <c r="B31" s="282">
        <f t="shared" ref="B31:G31" si="3">B15/B23</f>
        <v>6.3974394374007662E-3</v>
      </c>
      <c r="C31" s="282">
        <f t="shared" si="3"/>
        <v>2.9711345376150521E-3</v>
      </c>
      <c r="D31" s="282">
        <f t="shared" si="3"/>
        <v>1.03374901508144E-3</v>
      </c>
      <c r="E31" s="282">
        <f t="shared" si="3"/>
        <v>5.8713988262924029E-4</v>
      </c>
      <c r="F31" s="492">
        <f t="shared" si="3"/>
        <v>2.9555073768487732E-5</v>
      </c>
      <c r="G31" s="493">
        <f t="shared" si="3"/>
        <v>1.180791652420126E-5</v>
      </c>
      <c r="H31" s="369"/>
      <c r="I31" s="369"/>
    </row>
    <row r="32" spans="1:9" ht="15" customHeight="1" thickBot="1" x14ac:dyDescent="0.4">
      <c r="A32" s="174" t="s">
        <v>14</v>
      </c>
      <c r="B32" s="215">
        <f t="shared" ref="B32:G32" si="4">B16/B24</f>
        <v>7.9439579500348405E-3</v>
      </c>
      <c r="C32" s="491">
        <f t="shared" si="4"/>
        <v>3.5685562471267393E-3</v>
      </c>
      <c r="D32" s="491">
        <f t="shared" si="4"/>
        <v>1.2883551336276815E-3</v>
      </c>
      <c r="E32" s="491">
        <f t="shared" si="4"/>
        <v>6.8109786943363042E-4</v>
      </c>
      <c r="F32" s="276">
        <f t="shared" si="4"/>
        <v>3.5896209238747514E-5</v>
      </c>
      <c r="G32" s="277">
        <f t="shared" si="4"/>
        <v>3.5184112363593827E-6</v>
      </c>
      <c r="H32" s="369"/>
      <c r="I32" s="369"/>
    </row>
    <row r="33" spans="1:14" x14ac:dyDescent="0.35">
      <c r="A33" s="166"/>
      <c r="B33" s="167"/>
      <c r="C33" s="167"/>
      <c r="D33" s="167"/>
      <c r="E33" s="167"/>
      <c r="F33" s="167"/>
      <c r="G33" s="167"/>
    </row>
    <row r="34" spans="1:14" ht="33" customHeight="1" thickBot="1" x14ac:dyDescent="0.45">
      <c r="A34" s="647" t="s">
        <v>218</v>
      </c>
      <c r="B34" s="647"/>
      <c r="C34" s="647"/>
      <c r="D34" s="647"/>
      <c r="E34" s="647"/>
      <c r="F34" s="647"/>
      <c r="G34" s="647"/>
    </row>
    <row r="35" spans="1:14" ht="30" customHeight="1" x14ac:dyDescent="0.35">
      <c r="A35" s="644" t="s">
        <v>50</v>
      </c>
      <c r="B35" s="585" t="s">
        <v>219</v>
      </c>
      <c r="C35" s="585"/>
      <c r="D35" s="585"/>
      <c r="E35" s="585"/>
      <c r="F35" s="585"/>
      <c r="G35" s="586"/>
    </row>
    <row r="36" spans="1:14" ht="30" customHeight="1" x14ac:dyDescent="0.35">
      <c r="A36" s="645"/>
      <c r="B36" s="587" t="s">
        <v>15</v>
      </c>
      <c r="C36" s="587" t="s">
        <v>16</v>
      </c>
      <c r="D36" s="587" t="s">
        <v>17</v>
      </c>
      <c r="E36" s="587" t="s">
        <v>18</v>
      </c>
      <c r="F36" s="587" t="s">
        <v>19</v>
      </c>
      <c r="G36" s="588" t="s">
        <v>20</v>
      </c>
    </row>
    <row r="37" spans="1:14" ht="15" customHeight="1" x14ac:dyDescent="0.35">
      <c r="A37" s="168" t="s">
        <v>10</v>
      </c>
      <c r="B37" s="576">
        <f t="shared" ref="B37:G37" si="5">B12/B20</f>
        <v>0</v>
      </c>
      <c r="C37" s="577">
        <f t="shared" si="5"/>
        <v>0</v>
      </c>
      <c r="D37" s="577">
        <f t="shared" si="5"/>
        <v>0</v>
      </c>
      <c r="E37" s="577">
        <f t="shared" si="5"/>
        <v>0</v>
      </c>
      <c r="F37" s="577">
        <f t="shared" si="5"/>
        <v>0</v>
      </c>
      <c r="G37" s="578">
        <f t="shared" si="5"/>
        <v>0</v>
      </c>
      <c r="H37" s="369"/>
      <c r="I37" s="40"/>
      <c r="J37" s="40"/>
      <c r="K37" s="40"/>
      <c r="L37" s="40"/>
      <c r="M37" s="40"/>
      <c r="N37" s="40"/>
    </row>
    <row r="38" spans="1:14" ht="15" customHeight="1" x14ac:dyDescent="0.35">
      <c r="A38" s="171" t="s">
        <v>11</v>
      </c>
      <c r="B38" s="579">
        <f>ROUND(B13/B21,6)</f>
        <v>1.4656000000000001E-2</v>
      </c>
      <c r="C38" s="579">
        <f t="shared" ref="C38:G38" si="6">ROUND(C13/C21,6)</f>
        <v>6.2490000000000002E-3</v>
      </c>
      <c r="D38" s="579">
        <f t="shared" si="6"/>
        <v>2.8050000000000002E-3</v>
      </c>
      <c r="E38" s="579">
        <f t="shared" si="6"/>
        <v>1.7110000000000001E-3</v>
      </c>
      <c r="F38" s="579">
        <f t="shared" si="6"/>
        <v>6.8999999999999997E-5</v>
      </c>
      <c r="G38" s="493">
        <f t="shared" si="6"/>
        <v>1.4E-5</v>
      </c>
      <c r="H38" s="369"/>
      <c r="I38" s="40"/>
      <c r="J38" s="40"/>
      <c r="K38" s="40"/>
      <c r="L38" s="40"/>
      <c r="M38" s="40"/>
      <c r="N38" s="40"/>
    </row>
    <row r="39" spans="1:14" ht="15" customHeight="1" x14ac:dyDescent="0.35">
      <c r="A39" s="171" t="s">
        <v>12</v>
      </c>
      <c r="B39" s="579">
        <f t="shared" ref="B39:E39" si="7">ROUND(B14/B22,6)</f>
        <v>7.6439999999999998E-3</v>
      </c>
      <c r="C39" s="579">
        <f t="shared" si="7"/>
        <v>3.718E-3</v>
      </c>
      <c r="D39" s="579">
        <f t="shared" si="7"/>
        <v>1.1789999999999999E-3</v>
      </c>
      <c r="E39" s="579">
        <f t="shared" si="7"/>
        <v>6.3699999999999998E-4</v>
      </c>
      <c r="F39" s="492">
        <f>ROUND((F14+G14)/(F22+G22),6)</f>
        <v>1.5999999999999999E-5</v>
      </c>
      <c r="G39" s="493">
        <f>F39</f>
        <v>1.5999999999999999E-5</v>
      </c>
      <c r="H39" s="369"/>
      <c r="I39" s="40"/>
      <c r="J39" s="40"/>
      <c r="K39" s="40"/>
      <c r="L39" s="40"/>
      <c r="M39" s="40"/>
      <c r="N39" s="40"/>
    </row>
    <row r="40" spans="1:14" ht="15" customHeight="1" x14ac:dyDescent="0.35">
      <c r="A40" s="171" t="s">
        <v>13</v>
      </c>
      <c r="B40" s="579">
        <f t="shared" ref="B40:E40" si="8">ROUND(B15/B23,6)</f>
        <v>6.3969999999999999E-3</v>
      </c>
      <c r="C40" s="579">
        <f t="shared" si="8"/>
        <v>2.9710000000000001E-3</v>
      </c>
      <c r="D40" s="579">
        <f t="shared" si="8"/>
        <v>1.034E-3</v>
      </c>
      <c r="E40" s="579">
        <f t="shared" si="8"/>
        <v>5.8699999999999996E-4</v>
      </c>
      <c r="F40" s="492">
        <f t="shared" ref="F40:F41" si="9">ROUND((F15+G15)/(F23+G23),6)</f>
        <v>1.2999999999999999E-5</v>
      </c>
      <c r="G40" s="493">
        <f>F40</f>
        <v>1.2999999999999999E-5</v>
      </c>
      <c r="H40" s="369"/>
      <c r="I40" s="40"/>
      <c r="J40" s="40"/>
      <c r="K40" s="40"/>
      <c r="L40" s="40"/>
      <c r="M40" s="40"/>
      <c r="N40" s="40"/>
    </row>
    <row r="41" spans="1:14" ht="15" customHeight="1" thickBot="1" x14ac:dyDescent="0.4">
      <c r="A41" s="174" t="s">
        <v>14</v>
      </c>
      <c r="B41" s="276">
        <f t="shared" ref="B41:E41" si="10">ROUND(B16/B24,6)</f>
        <v>7.9439999999999997E-3</v>
      </c>
      <c r="C41" s="580">
        <f t="shared" si="10"/>
        <v>3.5690000000000001E-3</v>
      </c>
      <c r="D41" s="580">
        <f t="shared" si="10"/>
        <v>1.2880000000000001E-3</v>
      </c>
      <c r="E41" s="580">
        <f t="shared" si="10"/>
        <v>6.8099999999999996E-4</v>
      </c>
      <c r="F41" s="276">
        <f t="shared" si="9"/>
        <v>6.0000000000000002E-6</v>
      </c>
      <c r="G41" s="277">
        <f>F41</f>
        <v>6.0000000000000002E-6</v>
      </c>
      <c r="H41" s="369"/>
      <c r="I41" s="40"/>
      <c r="J41" s="40"/>
      <c r="K41" s="40"/>
      <c r="L41" s="40"/>
      <c r="M41" s="40"/>
      <c r="N41" s="40"/>
    </row>
  </sheetData>
  <mergeCells count="6">
    <mergeCell ref="A35:A36"/>
    <mergeCell ref="A6:G6"/>
    <mergeCell ref="A26:A27"/>
    <mergeCell ref="A34:G34"/>
    <mergeCell ref="A10:A11"/>
    <mergeCell ref="A18:A19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8E6A-DE82-4A94-8200-EF11E37FBBFF}">
  <dimension ref="A1:Z107"/>
  <sheetViews>
    <sheetView showGridLines="0" topLeftCell="A60" workbookViewId="0">
      <selection activeCell="A40" sqref="A40:XFD40"/>
    </sheetView>
  </sheetViews>
  <sheetFormatPr baseColWidth="10" defaultRowHeight="12.75" x14ac:dyDescent="0.35"/>
  <cols>
    <col min="1" max="1" width="12.73046875" bestFit="1" customWidth="1"/>
    <col min="2" max="2" width="14.86328125" customWidth="1"/>
    <col min="3" max="3" width="14.59765625" customWidth="1"/>
    <col min="4" max="13" width="15.1328125" bestFit="1" customWidth="1"/>
    <col min="15" max="26" width="14.73046875" customWidth="1"/>
  </cols>
  <sheetData>
    <row r="1" spans="1:4" s="1" customFormat="1" x14ac:dyDescent="0.35"/>
    <row r="2" spans="1:4" s="1" customFormat="1" x14ac:dyDescent="0.35"/>
    <row r="3" spans="1:4" s="1" customFormat="1" x14ac:dyDescent="0.35"/>
    <row r="4" spans="1:4" s="1" customFormat="1" x14ac:dyDescent="0.35"/>
    <row r="5" spans="1:4" s="1" customFormat="1" x14ac:dyDescent="0.35"/>
    <row r="6" spans="1:4" s="366" customFormat="1" ht="30" customHeight="1" x14ac:dyDescent="0.35">
      <c r="A6" s="366" t="s">
        <v>191</v>
      </c>
    </row>
    <row r="8" spans="1:4" s="376" customFormat="1" ht="15" x14ac:dyDescent="0.4">
      <c r="A8" s="389" t="s">
        <v>159</v>
      </c>
    </row>
    <row r="9" spans="1:4" ht="13.15" thickBot="1" x14ac:dyDescent="0.4"/>
    <row r="10" spans="1:4" ht="13.5" thickBot="1" x14ac:dyDescent="0.4">
      <c r="A10" s="435" t="s">
        <v>163</v>
      </c>
      <c r="B10" s="1"/>
      <c r="C10" s="1"/>
    </row>
    <row r="11" spans="1:4" ht="18" customHeight="1" x14ac:dyDescent="0.35">
      <c r="A11" s="436" t="s">
        <v>160</v>
      </c>
      <c r="B11" s="437"/>
      <c r="C11" s="438">
        <v>50</v>
      </c>
    </row>
    <row r="12" spans="1:4" ht="18" customHeight="1" x14ac:dyDescent="0.35">
      <c r="A12" s="439" t="s">
        <v>161</v>
      </c>
      <c r="B12" s="440"/>
      <c r="C12" s="441">
        <v>28.799969999999998</v>
      </c>
    </row>
    <row r="13" spans="1:4" ht="18" customHeight="1" x14ac:dyDescent="0.35">
      <c r="A13" s="439" t="s">
        <v>162</v>
      </c>
      <c r="B13" s="440"/>
      <c r="C13" s="441">
        <f>C11*C12/60</f>
        <v>23.999974999999999</v>
      </c>
    </row>
    <row r="14" spans="1:4" ht="18" customHeight="1" x14ac:dyDescent="0.35">
      <c r="A14" s="439" t="s">
        <v>164</v>
      </c>
      <c r="B14" s="440"/>
      <c r="C14" s="442">
        <v>0.1</v>
      </c>
    </row>
    <row r="15" spans="1:4" ht="18" customHeight="1" thickBot="1" x14ac:dyDescent="0.4">
      <c r="A15" s="443" t="s">
        <v>165</v>
      </c>
      <c r="B15" s="444"/>
      <c r="C15" s="445">
        <f>C11*8760*C14</f>
        <v>43800</v>
      </c>
    </row>
    <row r="16" spans="1:4" ht="13.15" thickBot="1" x14ac:dyDescent="0.4">
      <c r="A16" s="352"/>
      <c r="D16" s="353"/>
    </row>
    <row r="17" spans="1:21" s="305" customFormat="1" ht="25.15" customHeight="1" x14ac:dyDescent="0.35">
      <c r="A17" s="642" t="s">
        <v>139</v>
      </c>
      <c r="B17" s="162" t="s">
        <v>168</v>
      </c>
      <c r="C17" s="162"/>
      <c r="D17" s="162"/>
      <c r="E17" s="162"/>
      <c r="F17" s="162"/>
      <c r="G17" s="162"/>
      <c r="H17" s="306" t="s">
        <v>169</v>
      </c>
      <c r="I17" s="306"/>
      <c r="J17" s="354"/>
      <c r="K17" s="354"/>
      <c r="L17" s="354"/>
      <c r="M17" s="307"/>
    </row>
    <row r="18" spans="1:21" s="305" customFormat="1" ht="25.15" customHeight="1" x14ac:dyDescent="0.35">
      <c r="A18" s="643"/>
      <c r="B18" s="164" t="s">
        <v>15</v>
      </c>
      <c r="C18" s="164" t="s">
        <v>16</v>
      </c>
      <c r="D18" s="164" t="s">
        <v>17</v>
      </c>
      <c r="E18" s="164" t="s">
        <v>18</v>
      </c>
      <c r="F18" s="164" t="s">
        <v>19</v>
      </c>
      <c r="G18" s="164" t="s">
        <v>20</v>
      </c>
      <c r="H18" s="164" t="s">
        <v>15</v>
      </c>
      <c r="I18" s="164" t="s">
        <v>16</v>
      </c>
      <c r="J18" s="164" t="s">
        <v>17</v>
      </c>
      <c r="K18" s="164" t="s">
        <v>18</v>
      </c>
      <c r="L18" s="164" t="s">
        <v>19</v>
      </c>
      <c r="M18" s="165" t="s">
        <v>20</v>
      </c>
    </row>
    <row r="19" spans="1:21" s="305" customFormat="1" ht="30" customHeight="1" x14ac:dyDescent="0.35">
      <c r="A19" s="344" t="s">
        <v>2</v>
      </c>
      <c r="B19" s="348">
        <f>'Va. Peajes transporte'!B80</f>
        <v>1.8388131823972982</v>
      </c>
      <c r="C19" s="348">
        <f>'Va. Peajes transporte'!C80</f>
        <v>0.93106274937589129</v>
      </c>
      <c r="D19" s="348">
        <f>'Va. Peajes transporte'!D80</f>
        <v>0.28368530163176392</v>
      </c>
      <c r="E19" s="348">
        <f>'Va. Peajes transporte'!E80</f>
        <v>0.15315013320462434</v>
      </c>
      <c r="F19" s="348">
        <f>'Va. Peajes transporte'!F80</f>
        <v>3.261543887782875E-3</v>
      </c>
      <c r="G19" s="348">
        <f>'Va. Peajes transporte'!G80</f>
        <v>3.261543887782875E-3</v>
      </c>
      <c r="H19" s="525">
        <f>'Va. Peajes transporte'!I80</f>
        <v>6.4190565877730752E-3</v>
      </c>
      <c r="I19" s="525">
        <f>'Va. Peajes transporte'!J80</f>
        <v>2.7210570539338438E-3</v>
      </c>
      <c r="J19" s="525">
        <f>'Va. Peajes transporte'!K80</f>
        <v>9.1961091357015612E-4</v>
      </c>
      <c r="K19" s="525">
        <f>'Va. Peajes transporte'!L80</f>
        <v>4.7528971352375142E-4</v>
      </c>
      <c r="L19" s="525">
        <f>'Va. Peajes transporte'!M80</f>
        <v>2.4731054965872661E-5</v>
      </c>
      <c r="M19" s="526">
        <f>'Va. Peajes transporte'!N80</f>
        <v>2.8325419185508605E-6</v>
      </c>
      <c r="O19" s="315"/>
      <c r="P19" s="314"/>
      <c r="Q19" s="314"/>
      <c r="R19" s="314"/>
      <c r="S19" s="314"/>
      <c r="T19" s="314"/>
      <c r="U19" s="308"/>
    </row>
    <row r="20" spans="1:21" s="305" customFormat="1" ht="30" customHeight="1" x14ac:dyDescent="0.35">
      <c r="A20" s="355" t="s">
        <v>143</v>
      </c>
      <c r="B20" s="356">
        <f>'Vb. Peajes distribución'!B80</f>
        <v>12.884618207992183</v>
      </c>
      <c r="C20" s="356">
        <f>'Vb. Peajes distribución'!C80</f>
        <v>6.8509012284028241</v>
      </c>
      <c r="D20" s="356">
        <f>'Vb. Peajes distribución'!D80</f>
        <v>2.184567243677964</v>
      </c>
      <c r="E20" s="356">
        <f>'Vb. Peajes distribución'!E80</f>
        <v>1.7341171536480726</v>
      </c>
      <c r="F20" s="356">
        <f>'Vb. Peajes distribución'!F80</f>
        <v>0.53062133286280544</v>
      </c>
      <c r="G20" s="356">
        <f>'Vb. Peajes distribución'!G80</f>
        <v>0.53062133286280544</v>
      </c>
      <c r="H20" s="527">
        <f>'Vb. Peajes distribución'!I80</f>
        <v>2.2109269980759988E-2</v>
      </c>
      <c r="I20" s="527">
        <f>'Vb. Peajes distribución'!J80</f>
        <v>9.6219355598850514E-3</v>
      </c>
      <c r="J20" s="527">
        <f>'Vb. Peajes distribución'!K80</f>
        <v>3.7532076387121732E-3</v>
      </c>
      <c r="K20" s="527">
        <f>'Vb. Peajes distribución'!L80</f>
        <v>2.2074983808298082E-3</v>
      </c>
      <c r="L20" s="527">
        <f>'Vb. Peajes distribución'!M80</f>
        <v>9.4361635942026198E-5</v>
      </c>
      <c r="M20" s="528">
        <f>'Vb. Peajes distribución'!N80</f>
        <v>2.8089231038319398E-5</v>
      </c>
      <c r="O20" s="315"/>
      <c r="P20" s="314"/>
      <c r="Q20" s="314"/>
      <c r="R20" s="314"/>
      <c r="S20" s="314"/>
      <c r="T20" s="314"/>
      <c r="U20" s="308"/>
    </row>
    <row r="21" spans="1:21" s="305" customFormat="1" ht="30" customHeight="1" thickBot="1" x14ac:dyDescent="0.4">
      <c r="A21" s="370" t="s">
        <v>147</v>
      </c>
      <c r="B21" s="371">
        <f>SUM(B19:B20)</f>
        <v>14.723431390389482</v>
      </c>
      <c r="C21" s="371">
        <f>SUM(C19:C20)</f>
        <v>7.7819639777787151</v>
      </c>
      <c r="D21" s="371">
        <f t="shared" ref="D21:G21" si="0">SUM(D19:D20)</f>
        <v>2.4682525453097277</v>
      </c>
      <c r="E21" s="371">
        <f t="shared" si="0"/>
        <v>1.887267286852697</v>
      </c>
      <c r="F21" s="371">
        <f t="shared" si="0"/>
        <v>0.53388287675058832</v>
      </c>
      <c r="G21" s="371">
        <f t="shared" si="0"/>
        <v>0.53388287675058832</v>
      </c>
      <c r="H21" s="529">
        <f>SUM(H19:H20)</f>
        <v>2.8528326568533064E-2</v>
      </c>
      <c r="I21" s="529">
        <f t="shared" ref="I21" si="1">SUM(I19:I20)</f>
        <v>1.2342992613818896E-2</v>
      </c>
      <c r="J21" s="529">
        <f t="shared" ref="J21" si="2">SUM(J19:J20)</f>
        <v>4.6728185522823297E-3</v>
      </c>
      <c r="K21" s="529">
        <f t="shared" ref="K21" si="3">SUM(K19:K20)</f>
        <v>2.6827880943535599E-3</v>
      </c>
      <c r="L21" s="529">
        <f t="shared" ref="L21" si="4">SUM(L19:L20)</f>
        <v>1.1909269090789886E-4</v>
      </c>
      <c r="M21" s="530">
        <f t="shared" ref="M21" si="5">SUM(M19:M20)</f>
        <v>3.092177295687026E-5</v>
      </c>
      <c r="O21" s="315"/>
      <c r="P21" s="314"/>
      <c r="Q21" s="314"/>
      <c r="R21" s="314"/>
      <c r="S21" s="314"/>
      <c r="T21" s="314"/>
      <c r="U21" s="308"/>
    </row>
    <row r="22" spans="1:21" ht="13.15" thickBot="1" x14ac:dyDescent="0.4">
      <c r="A22" s="351"/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</row>
    <row r="23" spans="1:21" s="305" customFormat="1" ht="23.25" customHeight="1" x14ac:dyDescent="0.35">
      <c r="A23" s="642" t="s">
        <v>139</v>
      </c>
      <c r="B23" s="162" t="s">
        <v>166</v>
      </c>
      <c r="C23" s="162"/>
      <c r="D23" s="162"/>
      <c r="E23" s="636" t="s">
        <v>121</v>
      </c>
    </row>
    <row r="24" spans="1:21" s="305" customFormat="1" ht="38.25" x14ac:dyDescent="0.35">
      <c r="A24" s="643"/>
      <c r="B24" s="239" t="s">
        <v>170</v>
      </c>
      <c r="C24" s="239" t="s">
        <v>171</v>
      </c>
      <c r="D24" s="239" t="s">
        <v>172</v>
      </c>
      <c r="E24" s="637"/>
    </row>
    <row r="25" spans="1:21" ht="18" customHeight="1" x14ac:dyDescent="0.35">
      <c r="A25" s="346" t="s">
        <v>149</v>
      </c>
      <c r="B25" s="349">
        <f>$C$11*SUM(B19:G19)</f>
        <v>160.66172271925717</v>
      </c>
      <c r="C25" s="349">
        <f>$C$15*AVERAGE(H19:M19)</f>
        <v>77.106818419502318</v>
      </c>
      <c r="D25" s="349">
        <f>SUM(B25:C25)</f>
        <v>237.76854113875947</v>
      </c>
      <c r="E25" s="448">
        <f t="shared" ref="E25" si="6">B25/D25</f>
        <v>0.67570639055019688</v>
      </c>
      <c r="F25" s="238"/>
      <c r="G25" s="238"/>
      <c r="I25" s="238"/>
      <c r="J25" s="238"/>
      <c r="K25" s="238"/>
      <c r="L25" s="238"/>
    </row>
    <row r="26" spans="1:21" ht="18" customHeight="1" x14ac:dyDescent="0.35">
      <c r="A26" s="357" t="s">
        <v>150</v>
      </c>
      <c r="B26" s="449">
        <f>$C$11*SUM(B20:G20)</f>
        <v>1235.7723249723326</v>
      </c>
      <c r="C26" s="449">
        <f>$C$15*AVERAGE(H20:M20)</f>
        <v>276.04484571832182</v>
      </c>
      <c r="D26" s="449">
        <f>SUM(B26:C26)</f>
        <v>1511.8171706906544</v>
      </c>
      <c r="E26" s="450">
        <f>B26/D26</f>
        <v>0.81740857884805329</v>
      </c>
      <c r="F26" s="238"/>
      <c r="G26" s="238"/>
      <c r="I26" s="238"/>
      <c r="J26" s="238"/>
      <c r="K26" s="238"/>
      <c r="L26" s="238"/>
    </row>
    <row r="27" spans="1:21" ht="18" customHeight="1" thickBot="1" x14ac:dyDescent="0.4">
      <c r="A27" s="380" t="s">
        <v>4</v>
      </c>
      <c r="B27" s="451">
        <f>SUM(B25:B26)</f>
        <v>1396.4340476915897</v>
      </c>
      <c r="C27" s="451">
        <f t="shared" ref="C27:D27" si="7">SUM(C25:C26)</f>
        <v>353.15166413782413</v>
      </c>
      <c r="D27" s="451">
        <f t="shared" si="7"/>
        <v>1749.5857118294139</v>
      </c>
      <c r="E27" s="452">
        <f>B27/D27</f>
        <v>0.79815126418210214</v>
      </c>
      <c r="F27" s="238"/>
      <c r="G27" s="238"/>
    </row>
    <row r="28" spans="1:21" s="305" customFormat="1" x14ac:dyDescent="0.35"/>
    <row r="29" spans="1:21" s="305" customFormat="1" ht="13.15" thickBot="1" x14ac:dyDescent="0.4"/>
    <row r="30" spans="1:21" s="305" customFormat="1" ht="36.75" customHeight="1" x14ac:dyDescent="0.35">
      <c r="A30" s="642" t="s">
        <v>139</v>
      </c>
      <c r="B30" s="162" t="s">
        <v>167</v>
      </c>
      <c r="C30" s="163"/>
    </row>
    <row r="31" spans="1:21" s="305" customFormat="1" ht="51" x14ac:dyDescent="0.35">
      <c r="A31" s="643"/>
      <c r="B31" s="239" t="s">
        <v>173</v>
      </c>
      <c r="C31" s="304" t="s">
        <v>174</v>
      </c>
    </row>
    <row r="32" spans="1:21" ht="18" customHeight="1" x14ac:dyDescent="0.35">
      <c r="A32" s="346" t="s">
        <v>149</v>
      </c>
      <c r="B32" s="453">
        <f>D25*20%/B25</f>
        <v>0.29598654503940552</v>
      </c>
      <c r="C32" s="454">
        <f>D25*80%/C25</f>
        <v>2.4669002924765642</v>
      </c>
      <c r="D32" s="305"/>
      <c r="E32" s="305"/>
      <c r="F32" s="238"/>
      <c r="G32" s="238"/>
      <c r="I32" s="238"/>
      <c r="J32" s="238"/>
      <c r="K32" s="238"/>
      <c r="L32" s="238"/>
    </row>
    <row r="33" spans="1:26" ht="18" customHeight="1" thickBot="1" x14ac:dyDescent="0.4">
      <c r="A33" s="347" t="s">
        <v>150</v>
      </c>
      <c r="B33" s="455">
        <f>D26*20%/B26</f>
        <v>0.24467568016212085</v>
      </c>
      <c r="C33" s="456">
        <f>D26*80%/C26</f>
        <v>4.3813668514812951</v>
      </c>
      <c r="D33" s="305"/>
      <c r="E33" s="305"/>
      <c r="F33" s="238"/>
      <c r="G33" s="238"/>
      <c r="I33" s="238"/>
      <c r="J33" s="238"/>
      <c r="K33" s="238"/>
      <c r="L33" s="238"/>
    </row>
    <row r="34" spans="1:26" s="305" customFormat="1" ht="13.15" thickBot="1" x14ac:dyDescent="0.4"/>
    <row r="35" spans="1:26" s="305" customFormat="1" ht="25.15" customHeight="1" x14ac:dyDescent="0.35">
      <c r="A35" s="642" t="s">
        <v>139</v>
      </c>
      <c r="B35" s="162" t="s">
        <v>175</v>
      </c>
      <c r="C35" s="162"/>
      <c r="D35" s="162"/>
      <c r="E35" s="162"/>
      <c r="F35" s="162"/>
      <c r="G35" s="162"/>
      <c r="H35" s="306" t="s">
        <v>176</v>
      </c>
      <c r="I35" s="306"/>
      <c r="J35" s="354"/>
      <c r="K35" s="354"/>
      <c r="L35" s="354"/>
      <c r="M35" s="307"/>
    </row>
    <row r="36" spans="1:26" s="305" customFormat="1" ht="25.15" customHeight="1" x14ac:dyDescent="0.35">
      <c r="A36" s="643"/>
      <c r="B36" s="164" t="s">
        <v>15</v>
      </c>
      <c r="C36" s="164" t="s">
        <v>16</v>
      </c>
      <c r="D36" s="164" t="s">
        <v>17</v>
      </c>
      <c r="E36" s="164" t="s">
        <v>18</v>
      </c>
      <c r="F36" s="164" t="s">
        <v>19</v>
      </c>
      <c r="G36" s="164" t="s">
        <v>20</v>
      </c>
      <c r="H36" s="164" t="s">
        <v>15</v>
      </c>
      <c r="I36" s="164" t="s">
        <v>16</v>
      </c>
      <c r="J36" s="164" t="s">
        <v>17</v>
      </c>
      <c r="K36" s="164" t="s">
        <v>18</v>
      </c>
      <c r="L36" s="164" t="s">
        <v>19</v>
      </c>
      <c r="M36" s="165" t="s">
        <v>20</v>
      </c>
    </row>
    <row r="37" spans="1:26" s="305" customFormat="1" ht="30" customHeight="1" x14ac:dyDescent="0.35">
      <c r="A37" s="344" t="s">
        <v>2</v>
      </c>
      <c r="B37" s="494">
        <f>ROUND($B$32*B19,6)</f>
        <v>0.54426399999999997</v>
      </c>
      <c r="C37" s="494">
        <f t="shared" ref="C37:G37" si="8">ROUND($B$32*C19,6)</f>
        <v>0.27558199999999999</v>
      </c>
      <c r="D37" s="494">
        <f t="shared" si="8"/>
        <v>8.3967E-2</v>
      </c>
      <c r="E37" s="494">
        <f t="shared" si="8"/>
        <v>4.5330000000000002E-2</v>
      </c>
      <c r="F37" s="494">
        <f t="shared" si="8"/>
        <v>9.6500000000000004E-4</v>
      </c>
      <c r="G37" s="494">
        <f t="shared" si="8"/>
        <v>9.6500000000000004E-4</v>
      </c>
      <c r="H37" s="476">
        <f>ROUND($C$32*H19,6)</f>
        <v>1.5834999999999998E-2</v>
      </c>
      <c r="I37" s="476">
        <f t="shared" ref="I37:M37" si="9">ROUND($C$32*I19,6)</f>
        <v>6.7130000000000002E-3</v>
      </c>
      <c r="J37" s="476">
        <f t="shared" si="9"/>
        <v>2.2690000000000002E-3</v>
      </c>
      <c r="K37" s="476">
        <f t="shared" si="9"/>
        <v>1.1720000000000001E-3</v>
      </c>
      <c r="L37" s="476">
        <f t="shared" si="9"/>
        <v>6.0999999999999999E-5</v>
      </c>
      <c r="M37" s="477">
        <f t="shared" si="9"/>
        <v>6.9999999999999999E-6</v>
      </c>
    </row>
    <row r="38" spans="1:26" s="305" customFormat="1" ht="30" customHeight="1" x14ac:dyDescent="0.35">
      <c r="A38" s="355" t="s">
        <v>143</v>
      </c>
      <c r="B38" s="495">
        <f>ROUND(B20*$B$33,6)</f>
        <v>3.1525530000000002</v>
      </c>
      <c r="C38" s="495">
        <f t="shared" ref="C38:G38" si="10">ROUND(C20*$B$33,6)</f>
        <v>1.6762490000000001</v>
      </c>
      <c r="D38" s="495">
        <f t="shared" si="10"/>
        <v>0.53451000000000004</v>
      </c>
      <c r="E38" s="495">
        <f t="shared" si="10"/>
        <v>0.42429600000000001</v>
      </c>
      <c r="F38" s="495">
        <f t="shared" si="10"/>
        <v>0.12983</v>
      </c>
      <c r="G38" s="495">
        <f t="shared" si="10"/>
        <v>0.12983</v>
      </c>
      <c r="H38" s="480">
        <f>ROUND($C$33*H20,6)</f>
        <v>9.6868999999999997E-2</v>
      </c>
      <c r="I38" s="480">
        <f t="shared" ref="I38:M38" si="11">ROUND($C$33*I20,6)</f>
        <v>4.2157E-2</v>
      </c>
      <c r="J38" s="480">
        <f t="shared" si="11"/>
        <v>1.6444E-2</v>
      </c>
      <c r="K38" s="480">
        <f t="shared" si="11"/>
        <v>9.672E-3</v>
      </c>
      <c r="L38" s="480">
        <f t="shared" si="11"/>
        <v>4.1300000000000001E-4</v>
      </c>
      <c r="M38" s="574">
        <f t="shared" si="11"/>
        <v>1.2300000000000001E-4</v>
      </c>
    </row>
    <row r="39" spans="1:26" s="305" customFormat="1" ht="30" customHeight="1" thickBot="1" x14ac:dyDescent="0.4">
      <c r="A39" s="370" t="s">
        <v>147</v>
      </c>
      <c r="B39" s="496">
        <f>SUM(B37:B38)</f>
        <v>3.6968170000000002</v>
      </c>
      <c r="C39" s="496">
        <f>SUM(C37:C38)</f>
        <v>1.9518310000000001</v>
      </c>
      <c r="D39" s="496">
        <f t="shared" ref="D39" si="12">SUM(D37:D38)</f>
        <v>0.61847700000000005</v>
      </c>
      <c r="E39" s="496">
        <f t="shared" ref="E39" si="13">SUM(E37:E38)</f>
        <v>0.46962599999999999</v>
      </c>
      <c r="F39" s="496">
        <f t="shared" ref="F39" si="14">SUM(F37:F38)</f>
        <v>0.13079499999999999</v>
      </c>
      <c r="G39" s="496">
        <f t="shared" ref="G39" si="15">SUM(G37:G38)</f>
        <v>0.13079499999999999</v>
      </c>
      <c r="H39" s="478">
        <f>SUM(H37:H38)</f>
        <v>0.112704</v>
      </c>
      <c r="I39" s="478">
        <f t="shared" ref="I39:M39" si="16">SUM(I37:I38)</f>
        <v>4.8869999999999997E-2</v>
      </c>
      <c r="J39" s="478">
        <f t="shared" si="16"/>
        <v>1.8713E-2</v>
      </c>
      <c r="K39" s="478">
        <f t="shared" si="16"/>
        <v>1.0843999999999999E-2</v>
      </c>
      <c r="L39" s="478">
        <f t="shared" si="16"/>
        <v>4.7400000000000003E-4</v>
      </c>
      <c r="M39" s="479">
        <f t="shared" si="16"/>
        <v>1.3000000000000002E-4</v>
      </c>
    </row>
    <row r="40" spans="1:26" s="305" customFormat="1" x14ac:dyDescent="0.35">
      <c r="B40" s="531"/>
      <c r="C40" s="531"/>
      <c r="D40" s="531"/>
      <c r="E40" s="531"/>
      <c r="F40" s="531"/>
      <c r="G40" s="531"/>
      <c r="H40" s="531"/>
      <c r="I40" s="531"/>
      <c r="J40" s="531"/>
      <c r="K40" s="531"/>
      <c r="L40" s="531"/>
      <c r="M40" s="531"/>
    </row>
    <row r="41" spans="1:26" s="305" customFormat="1" x14ac:dyDescent="0.35">
      <c r="O41" s="531"/>
      <c r="P41" s="531"/>
      <c r="Q41" s="531"/>
      <c r="R41" s="531"/>
      <c r="S41" s="531"/>
      <c r="T41" s="531"/>
      <c r="U41" s="531"/>
      <c r="V41" s="531"/>
      <c r="W41" s="531"/>
      <c r="X41" s="531"/>
      <c r="Y41" s="531"/>
      <c r="Z41" s="531"/>
    </row>
    <row r="42" spans="1:26" s="376" customFormat="1" ht="15" x14ac:dyDescent="0.4">
      <c r="A42" s="389" t="s">
        <v>177</v>
      </c>
      <c r="O42" s="531"/>
      <c r="P42" s="531"/>
      <c r="Q42" s="531"/>
      <c r="R42" s="531"/>
      <c r="S42" s="531"/>
      <c r="T42" s="531"/>
      <c r="U42" s="531"/>
      <c r="V42" s="531"/>
      <c r="W42" s="531"/>
      <c r="X42" s="531"/>
      <c r="Y42" s="531"/>
      <c r="Z42" s="531"/>
    </row>
    <row r="43" spans="1:26" ht="13.15" thickBot="1" x14ac:dyDescent="0.4"/>
    <row r="44" spans="1:26" ht="13.5" thickBot="1" x14ac:dyDescent="0.4">
      <c r="A44" s="435" t="s">
        <v>163</v>
      </c>
      <c r="B44" s="1"/>
      <c r="C44" s="1"/>
    </row>
    <row r="45" spans="1:26" ht="18" customHeight="1" x14ac:dyDescent="0.35">
      <c r="A45" s="436" t="s">
        <v>160</v>
      </c>
      <c r="B45" s="437"/>
      <c r="C45" s="438">
        <v>150</v>
      </c>
    </row>
    <row r="46" spans="1:26" ht="18" customHeight="1" x14ac:dyDescent="0.35">
      <c r="A46" s="439" t="s">
        <v>161</v>
      </c>
      <c r="B46" s="440"/>
      <c r="C46" s="441">
        <v>28.799969999999998</v>
      </c>
    </row>
    <row r="47" spans="1:26" ht="18" customHeight="1" x14ac:dyDescent="0.35">
      <c r="A47" s="439" t="s">
        <v>162</v>
      </c>
      <c r="B47" s="440"/>
      <c r="C47" s="441">
        <f>C45*C46/60</f>
        <v>71.999925000000005</v>
      </c>
    </row>
    <row r="48" spans="1:26" ht="18" customHeight="1" x14ac:dyDescent="0.35">
      <c r="A48" s="439" t="s">
        <v>164</v>
      </c>
      <c r="B48" s="440"/>
      <c r="C48" s="442">
        <v>0.1</v>
      </c>
    </row>
    <row r="49" spans="1:21" ht="18" customHeight="1" thickBot="1" x14ac:dyDescent="0.4">
      <c r="A49" s="443" t="s">
        <v>165</v>
      </c>
      <c r="B49" s="444"/>
      <c r="C49" s="445">
        <f>C45*8760*C48</f>
        <v>131400</v>
      </c>
    </row>
    <row r="50" spans="1:21" ht="13.15" thickBot="1" x14ac:dyDescent="0.4">
      <c r="A50" s="352"/>
      <c r="D50" s="353"/>
    </row>
    <row r="51" spans="1:21" s="305" customFormat="1" ht="25.15" customHeight="1" x14ac:dyDescent="0.35">
      <c r="A51" s="642" t="s">
        <v>139</v>
      </c>
      <c r="B51" s="162" t="s">
        <v>178</v>
      </c>
      <c r="C51" s="162"/>
      <c r="D51" s="162"/>
      <c r="E51" s="162"/>
      <c r="F51" s="162"/>
      <c r="G51" s="162"/>
      <c r="H51" s="306" t="s">
        <v>179</v>
      </c>
      <c r="I51" s="306"/>
      <c r="J51" s="354"/>
      <c r="K51" s="354"/>
      <c r="L51" s="354"/>
      <c r="M51" s="307"/>
    </row>
    <row r="52" spans="1:21" s="305" customFormat="1" ht="25.15" customHeight="1" x14ac:dyDescent="0.35">
      <c r="A52" s="643"/>
      <c r="B52" s="164" t="s">
        <v>15</v>
      </c>
      <c r="C52" s="164" t="s">
        <v>16</v>
      </c>
      <c r="D52" s="164" t="s">
        <v>17</v>
      </c>
      <c r="E52" s="164" t="s">
        <v>18</v>
      </c>
      <c r="F52" s="164" t="s">
        <v>19</v>
      </c>
      <c r="G52" s="164" t="s">
        <v>20</v>
      </c>
      <c r="H52" s="164" t="s">
        <v>15</v>
      </c>
      <c r="I52" s="164" t="s">
        <v>16</v>
      </c>
      <c r="J52" s="164" t="s">
        <v>17</v>
      </c>
      <c r="K52" s="164" t="s">
        <v>18</v>
      </c>
      <c r="L52" s="164" t="s">
        <v>19</v>
      </c>
      <c r="M52" s="165" t="s">
        <v>20</v>
      </c>
    </row>
    <row r="53" spans="1:21" s="305" customFormat="1" ht="30" customHeight="1" x14ac:dyDescent="0.35">
      <c r="A53" s="344" t="s">
        <v>2</v>
      </c>
      <c r="B53" s="348">
        <f>'Va. Peajes transporte'!B81</f>
        <v>5.441768401630438</v>
      </c>
      <c r="C53" s="348">
        <f>'Va. Peajes transporte'!C81</f>
        <v>2.8237551865533401</v>
      </c>
      <c r="D53" s="348">
        <f>'Va. Peajes transporte'!D81</f>
        <v>0.9699056074058473</v>
      </c>
      <c r="E53" s="348">
        <f>'Va. Peajes transporte'!E81</f>
        <v>0.61537619231047869</v>
      </c>
      <c r="F53" s="348">
        <f>'Va. Peajes transporte'!F81</f>
        <v>1.3995325977108432E-2</v>
      </c>
      <c r="G53" s="348">
        <f>'Va. Peajes transporte'!G81</f>
        <v>6.3161847381236896E-3</v>
      </c>
      <c r="H53" s="525">
        <f>'Va. Peajes transporte'!I81</f>
        <v>6.0984628725395586E-3</v>
      </c>
      <c r="I53" s="525">
        <f>'Va. Peajes transporte'!J81</f>
        <v>2.6219985792541307E-3</v>
      </c>
      <c r="J53" s="525">
        <f>'Va. Peajes transporte'!K81</f>
        <v>9.300993968573407E-4</v>
      </c>
      <c r="K53" s="525">
        <f>'Va. Peajes transporte'!L81</f>
        <v>4.8532385315558591E-4</v>
      </c>
      <c r="L53" s="525">
        <f>'Va. Peajes transporte'!M81</f>
        <v>2.5335360233141538E-5</v>
      </c>
      <c r="M53" s="526">
        <f>'Va. Peajes transporte'!N81</f>
        <v>2.6624504489498591E-6</v>
      </c>
      <c r="O53" s="315"/>
      <c r="P53" s="314"/>
      <c r="Q53" s="314"/>
      <c r="R53" s="314"/>
      <c r="S53" s="314"/>
      <c r="T53" s="314"/>
      <c r="U53" s="308"/>
    </row>
    <row r="54" spans="1:21" s="305" customFormat="1" ht="30" customHeight="1" x14ac:dyDescent="0.35">
      <c r="A54" s="355" t="s">
        <v>143</v>
      </c>
      <c r="B54" s="356">
        <f>'Vb. Peajes distribución'!B81</f>
        <v>18.227286979191984</v>
      </c>
      <c r="C54" s="356">
        <f>'Vb. Peajes distribución'!C81</f>
        <v>9.6901595820475102</v>
      </c>
      <c r="D54" s="356">
        <f>'Vb. Peajes distribución'!D81</f>
        <v>3.7264244563584379</v>
      </c>
      <c r="E54" s="356">
        <f>'Vb. Peajes distribución'!E81</f>
        <v>2.6938691338036072</v>
      </c>
      <c r="F54" s="356">
        <f>'Vb. Peajes distribución'!F81</f>
        <v>5.5969677197350069E-2</v>
      </c>
      <c r="G54" s="356">
        <f>'Vb. Peajes distribución'!G81</f>
        <v>5.5969677197350069E-2</v>
      </c>
      <c r="H54" s="527">
        <f>'Vb. Peajes distribución'!I81</f>
        <v>2.1006404179117328E-2</v>
      </c>
      <c r="I54" s="527">
        <f>'Vb. Peajes distribución'!J81</f>
        <v>9.2721938110495554E-3</v>
      </c>
      <c r="J54" s="527">
        <f>'Vb. Peajes distribución'!K81</f>
        <v>3.7963253135528735E-3</v>
      </c>
      <c r="K54" s="527">
        <f>'Vb. Peajes distribución'!L81</f>
        <v>2.2543008030760894E-3</v>
      </c>
      <c r="L54" s="527">
        <f>'Vb. Peajes distribución'!M81</f>
        <v>9.6674266973735331E-5</v>
      </c>
      <c r="M54" s="528">
        <f>'Vb. Peajes distribución'!N81</f>
        <v>2.6403212042950104E-5</v>
      </c>
      <c r="O54" s="315"/>
      <c r="P54" s="314"/>
      <c r="Q54" s="314"/>
      <c r="R54" s="314"/>
      <c r="S54" s="314"/>
      <c r="T54" s="314"/>
      <c r="U54" s="308"/>
    </row>
    <row r="55" spans="1:21" s="305" customFormat="1" ht="30" customHeight="1" thickBot="1" x14ac:dyDescent="0.4">
      <c r="A55" s="370" t="s">
        <v>147</v>
      </c>
      <c r="B55" s="371">
        <f>SUM(B53:B54)</f>
        <v>23.669055380822421</v>
      </c>
      <c r="C55" s="371">
        <f>SUM(C53:C54)</f>
        <v>12.51391476860085</v>
      </c>
      <c r="D55" s="371">
        <f t="shared" ref="D55" si="17">SUM(D53:D54)</f>
        <v>4.6963300637642851</v>
      </c>
      <c r="E55" s="371">
        <f t="shared" ref="E55" si="18">SUM(E53:E54)</f>
        <v>3.3092453261140857</v>
      </c>
      <c r="F55" s="371">
        <f t="shared" ref="F55" si="19">SUM(F53:F54)</f>
        <v>6.9965003174458501E-2</v>
      </c>
      <c r="G55" s="371">
        <f t="shared" ref="G55" si="20">SUM(G53:G54)</f>
        <v>6.2285861935473759E-2</v>
      </c>
      <c r="H55" s="478">
        <f>SUM(H53:H54)</f>
        <v>2.7104867051656885E-2</v>
      </c>
      <c r="I55" s="478">
        <f t="shared" ref="I55" si="21">SUM(I53:I54)</f>
        <v>1.1894192390303687E-2</v>
      </c>
      <c r="J55" s="478">
        <f t="shared" ref="J55" si="22">SUM(J53:J54)</f>
        <v>4.7264247104102141E-3</v>
      </c>
      <c r="K55" s="478">
        <f t="shared" ref="K55" si="23">SUM(K53:K54)</f>
        <v>2.7396246562316753E-3</v>
      </c>
      <c r="L55" s="478">
        <f t="shared" ref="L55" si="24">SUM(L53:L54)</f>
        <v>1.2200962720687687E-4</v>
      </c>
      <c r="M55" s="479">
        <f t="shared" ref="M55" si="25">SUM(M53:M54)</f>
        <v>2.9065662491899962E-5</v>
      </c>
      <c r="O55" s="315"/>
      <c r="P55" s="314"/>
      <c r="Q55" s="314"/>
      <c r="R55" s="314"/>
      <c r="S55" s="314"/>
      <c r="T55" s="314"/>
      <c r="U55" s="308"/>
    </row>
    <row r="56" spans="1:21" ht="13.15" thickBot="1" x14ac:dyDescent="0.4">
      <c r="A56" s="351"/>
      <c r="B56" s="290"/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</row>
    <row r="57" spans="1:21" s="305" customFormat="1" ht="23.25" customHeight="1" x14ac:dyDescent="0.35">
      <c r="A57" s="642" t="s">
        <v>139</v>
      </c>
      <c r="B57" s="162" t="s">
        <v>180</v>
      </c>
      <c r="C57" s="162"/>
      <c r="D57" s="162"/>
      <c r="E57" s="636" t="s">
        <v>121</v>
      </c>
    </row>
    <row r="58" spans="1:21" s="305" customFormat="1" ht="38.25" x14ac:dyDescent="0.35">
      <c r="A58" s="643"/>
      <c r="B58" s="239" t="s">
        <v>170</v>
      </c>
      <c r="C58" s="239" t="s">
        <v>171</v>
      </c>
      <c r="D58" s="239" t="s">
        <v>172</v>
      </c>
      <c r="E58" s="637"/>
    </row>
    <row r="59" spans="1:21" ht="18" customHeight="1" x14ac:dyDescent="0.35">
      <c r="A59" s="346" t="s">
        <v>149</v>
      </c>
      <c r="B59" s="349">
        <f>$C$45*SUM(B53:G53)</f>
        <v>1480.6675347923003</v>
      </c>
      <c r="C59" s="349">
        <f>$C$49*AVERAGE(H53:M53)</f>
        <v>222.58902702350269</v>
      </c>
      <c r="D59" s="349">
        <f>SUM(B59:C59)</f>
        <v>1703.256561815803</v>
      </c>
      <c r="E59" s="448">
        <f t="shared" ref="E59" si="26">B59/D59</f>
        <v>0.86931562043347976</v>
      </c>
      <c r="F59" s="238"/>
      <c r="G59" s="238"/>
      <c r="I59" s="238"/>
      <c r="J59" s="238"/>
      <c r="K59" s="238"/>
      <c r="L59" s="238"/>
    </row>
    <row r="60" spans="1:21" ht="18" customHeight="1" x14ac:dyDescent="0.35">
      <c r="A60" s="357" t="s">
        <v>150</v>
      </c>
      <c r="B60" s="449">
        <f>$C$45*SUM(B54:G54)</f>
        <v>5167.4519258694372</v>
      </c>
      <c r="C60" s="449">
        <f>$C$49*AVERAGE(H54:M54)</f>
        <v>798.30540472929442</v>
      </c>
      <c r="D60" s="449">
        <f>SUM(B60:C60)</f>
        <v>5965.7573305987316</v>
      </c>
      <c r="E60" s="450">
        <f>B60/D60</f>
        <v>0.86618540438533465</v>
      </c>
      <c r="F60" s="238"/>
      <c r="G60" s="238"/>
      <c r="I60" s="238"/>
      <c r="J60" s="238"/>
      <c r="K60" s="238"/>
      <c r="L60" s="238"/>
    </row>
    <row r="61" spans="1:21" ht="18" customHeight="1" thickBot="1" x14ac:dyDescent="0.4">
      <c r="A61" s="380" t="s">
        <v>4</v>
      </c>
      <c r="B61" s="451">
        <f>SUM(B59:B60)</f>
        <v>6648.1194606617373</v>
      </c>
      <c r="C61" s="451">
        <f t="shared" ref="C61" si="27">SUM(C59:C60)</f>
        <v>1020.8944317527971</v>
      </c>
      <c r="D61" s="451">
        <f t="shared" ref="D61" si="28">SUM(D59:D60)</f>
        <v>7669.0138924145349</v>
      </c>
      <c r="E61" s="452">
        <f>B61/D61</f>
        <v>0.86688061254360615</v>
      </c>
      <c r="F61" s="238"/>
      <c r="G61" s="238"/>
    </row>
    <row r="62" spans="1:21" s="305" customFormat="1" x14ac:dyDescent="0.35"/>
    <row r="63" spans="1:21" s="305" customFormat="1" ht="13.15" thickBot="1" x14ac:dyDescent="0.4"/>
    <row r="64" spans="1:21" s="305" customFormat="1" ht="36.75" customHeight="1" x14ac:dyDescent="0.35">
      <c r="A64" s="642" t="s">
        <v>139</v>
      </c>
      <c r="B64" s="162" t="s">
        <v>211</v>
      </c>
      <c r="C64" s="163"/>
    </row>
    <row r="65" spans="1:26" s="305" customFormat="1" ht="51" x14ac:dyDescent="0.35">
      <c r="A65" s="643"/>
      <c r="B65" s="239" t="s">
        <v>173</v>
      </c>
      <c r="C65" s="304" t="s">
        <v>174</v>
      </c>
    </row>
    <row r="66" spans="1:26" ht="18" customHeight="1" x14ac:dyDescent="0.35">
      <c r="A66" s="346" t="s">
        <v>149</v>
      </c>
      <c r="B66" s="453">
        <f>D59*20%/B59</f>
        <v>0.23006603735047468</v>
      </c>
      <c r="C66" s="454">
        <f>D59*80%/C59</f>
        <v>6.1216191457127307</v>
      </c>
      <c r="D66" s="305"/>
      <c r="E66" s="305"/>
      <c r="F66" s="238"/>
      <c r="G66" s="238"/>
      <c r="I66" s="238"/>
      <c r="J66" s="238"/>
      <c r="K66" s="238"/>
      <c r="L66" s="238"/>
    </row>
    <row r="67" spans="1:26" ht="18" customHeight="1" thickBot="1" x14ac:dyDescent="0.4">
      <c r="A67" s="347" t="s">
        <v>150</v>
      </c>
      <c r="B67" s="455">
        <f>D60*20%/B60</f>
        <v>0.23089744873030349</v>
      </c>
      <c r="C67" s="456">
        <f>D60*80%/C60</f>
        <v>5.9784210857214193</v>
      </c>
      <c r="D67" s="305"/>
      <c r="E67" s="305"/>
      <c r="F67" s="238"/>
      <c r="G67" s="238"/>
      <c r="I67" s="238"/>
      <c r="J67" s="238"/>
      <c r="K67" s="238"/>
      <c r="L67" s="238"/>
    </row>
    <row r="68" spans="1:26" s="305" customFormat="1" ht="13.15" thickBot="1" x14ac:dyDescent="0.4"/>
    <row r="69" spans="1:26" s="305" customFormat="1" ht="25.15" customHeight="1" x14ac:dyDescent="0.35">
      <c r="A69" s="642" t="s">
        <v>139</v>
      </c>
      <c r="B69" s="162" t="s">
        <v>212</v>
      </c>
      <c r="C69" s="162"/>
      <c r="D69" s="162"/>
      <c r="E69" s="162"/>
      <c r="F69" s="162"/>
      <c r="G69" s="162"/>
      <c r="H69" s="306" t="s">
        <v>213</v>
      </c>
      <c r="I69" s="306"/>
      <c r="J69" s="354"/>
      <c r="K69" s="354"/>
      <c r="L69" s="354"/>
      <c r="M69" s="307"/>
    </row>
    <row r="70" spans="1:26" s="305" customFormat="1" ht="25.15" customHeight="1" x14ac:dyDescent="0.35">
      <c r="A70" s="643"/>
      <c r="B70" s="164" t="s">
        <v>15</v>
      </c>
      <c r="C70" s="164" t="s">
        <v>16</v>
      </c>
      <c r="D70" s="164" t="s">
        <v>17</v>
      </c>
      <c r="E70" s="164" t="s">
        <v>18</v>
      </c>
      <c r="F70" s="164" t="s">
        <v>19</v>
      </c>
      <c r="G70" s="164" t="s">
        <v>20</v>
      </c>
      <c r="H70" s="164" t="s">
        <v>15</v>
      </c>
      <c r="I70" s="164" t="s">
        <v>16</v>
      </c>
      <c r="J70" s="164" t="s">
        <v>17</v>
      </c>
      <c r="K70" s="164" t="s">
        <v>18</v>
      </c>
      <c r="L70" s="164" t="s">
        <v>19</v>
      </c>
      <c r="M70" s="165" t="s">
        <v>20</v>
      </c>
    </row>
    <row r="71" spans="1:26" s="305" customFormat="1" ht="30" customHeight="1" x14ac:dyDescent="0.35">
      <c r="A71" s="344" t="s">
        <v>2</v>
      </c>
      <c r="B71" s="494">
        <f>ROUND($B$66*B53,6)</f>
        <v>1.2519659999999999</v>
      </c>
      <c r="C71" s="494">
        <f t="shared" ref="C71:G71" si="29">ROUND($B$66*C53,6)</f>
        <v>0.64964999999999995</v>
      </c>
      <c r="D71" s="494">
        <f t="shared" si="29"/>
        <v>0.22314200000000001</v>
      </c>
      <c r="E71" s="494">
        <f t="shared" si="29"/>
        <v>0.14157700000000001</v>
      </c>
      <c r="F71" s="494">
        <f t="shared" si="29"/>
        <v>3.2200000000000002E-3</v>
      </c>
      <c r="G71" s="494">
        <f t="shared" si="29"/>
        <v>1.4530000000000001E-3</v>
      </c>
      <c r="H71" s="476">
        <f>ROUND($C$66*H53,6)</f>
        <v>3.7331999999999997E-2</v>
      </c>
      <c r="I71" s="476">
        <f t="shared" ref="I71:M71" si="30">ROUND($C$66*I53,6)</f>
        <v>1.6050999999999999E-2</v>
      </c>
      <c r="J71" s="476">
        <f t="shared" si="30"/>
        <v>5.6940000000000003E-3</v>
      </c>
      <c r="K71" s="476">
        <f t="shared" si="30"/>
        <v>2.9710000000000001E-3</v>
      </c>
      <c r="L71" s="476">
        <f t="shared" si="30"/>
        <v>1.55E-4</v>
      </c>
      <c r="M71" s="477">
        <f t="shared" si="30"/>
        <v>1.5999999999999999E-5</v>
      </c>
      <c r="O71" s="315"/>
      <c r="P71" s="314"/>
      <c r="Q71" s="314"/>
      <c r="R71" s="314"/>
      <c r="S71" s="314"/>
      <c r="T71" s="314"/>
      <c r="U71" s="308"/>
    </row>
    <row r="72" spans="1:26" s="305" customFormat="1" ht="30" customHeight="1" x14ac:dyDescent="0.35">
      <c r="A72" s="355" t="s">
        <v>143</v>
      </c>
      <c r="B72" s="495">
        <f>ROUND(B54*$B$67,6)</f>
        <v>4.208634</v>
      </c>
      <c r="C72" s="495">
        <f t="shared" ref="C72:G72" si="31">ROUND(C54*$B$67,6)</f>
        <v>2.2374329999999998</v>
      </c>
      <c r="D72" s="495">
        <f t="shared" si="31"/>
        <v>0.86042200000000002</v>
      </c>
      <c r="E72" s="495">
        <f t="shared" si="31"/>
        <v>0.62200800000000001</v>
      </c>
      <c r="F72" s="495">
        <f t="shared" si="31"/>
        <v>1.2923E-2</v>
      </c>
      <c r="G72" s="495">
        <f t="shared" si="31"/>
        <v>1.2923E-2</v>
      </c>
      <c r="H72" s="480">
        <f>ROUND($C$67*H54,6)</f>
        <v>0.125585</v>
      </c>
      <c r="I72" s="480">
        <f t="shared" ref="I72:M72" si="32">ROUND($C$67*I54,6)</f>
        <v>5.5433000000000003E-2</v>
      </c>
      <c r="J72" s="480">
        <f t="shared" si="32"/>
        <v>2.2696000000000001E-2</v>
      </c>
      <c r="K72" s="480">
        <f t="shared" si="32"/>
        <v>1.3476999999999999E-2</v>
      </c>
      <c r="L72" s="480">
        <f t="shared" si="32"/>
        <v>5.7799999999999995E-4</v>
      </c>
      <c r="M72" s="574">
        <f t="shared" si="32"/>
        <v>1.5799999999999999E-4</v>
      </c>
      <c r="O72" s="315"/>
      <c r="P72" s="314"/>
      <c r="Q72" s="314"/>
      <c r="R72" s="314"/>
      <c r="S72" s="314"/>
      <c r="T72" s="314"/>
      <c r="U72" s="308"/>
    </row>
    <row r="73" spans="1:26" s="305" customFormat="1" ht="30" customHeight="1" thickBot="1" x14ac:dyDescent="0.4">
      <c r="A73" s="370" t="s">
        <v>147</v>
      </c>
      <c r="B73" s="496">
        <f>SUM(B71:B72)</f>
        <v>5.4605999999999995</v>
      </c>
      <c r="C73" s="496">
        <f>SUM(C71:C72)</f>
        <v>2.8870829999999996</v>
      </c>
      <c r="D73" s="496">
        <f t="shared" ref="D73" si="33">SUM(D71:D72)</f>
        <v>1.083564</v>
      </c>
      <c r="E73" s="496">
        <f t="shared" ref="E73" si="34">SUM(E71:E72)</f>
        <v>0.76358499999999996</v>
      </c>
      <c r="F73" s="496">
        <f t="shared" ref="F73" si="35">SUM(F71:F72)</f>
        <v>1.6143000000000001E-2</v>
      </c>
      <c r="G73" s="496">
        <f t="shared" ref="G73" si="36">SUM(G71:G72)</f>
        <v>1.4376E-2</v>
      </c>
      <c r="H73" s="478">
        <f>SUM(H71:H72)</f>
        <v>0.16291700000000001</v>
      </c>
      <c r="I73" s="478">
        <f t="shared" ref="I73" si="37">SUM(I71:I72)</f>
        <v>7.1484000000000006E-2</v>
      </c>
      <c r="J73" s="478">
        <f t="shared" ref="J73" si="38">SUM(J71:J72)</f>
        <v>2.8390000000000002E-2</v>
      </c>
      <c r="K73" s="478">
        <f t="shared" ref="K73" si="39">SUM(K71:K72)</f>
        <v>1.6448000000000001E-2</v>
      </c>
      <c r="L73" s="478">
        <f t="shared" ref="L73" si="40">SUM(L71:L72)</f>
        <v>7.3299999999999993E-4</v>
      </c>
      <c r="M73" s="479">
        <f t="shared" ref="M73" si="41">SUM(M71:M72)</f>
        <v>1.74E-4</v>
      </c>
      <c r="O73" s="315"/>
      <c r="P73" s="315"/>
      <c r="Q73" s="314"/>
      <c r="R73" s="314"/>
      <c r="S73" s="314"/>
      <c r="T73" s="314"/>
      <c r="U73" s="308"/>
    </row>
    <row r="74" spans="1:26" x14ac:dyDescent="0.35">
      <c r="B74" s="531"/>
      <c r="C74" s="531"/>
      <c r="D74" s="531"/>
      <c r="E74" s="531"/>
      <c r="F74" s="531"/>
      <c r="G74" s="531"/>
      <c r="H74" s="531"/>
      <c r="I74" s="531"/>
      <c r="J74" s="531"/>
      <c r="K74" s="531"/>
      <c r="L74" s="531"/>
      <c r="M74" s="531"/>
    </row>
    <row r="75" spans="1:26" x14ac:dyDescent="0.35">
      <c r="B75" s="369"/>
      <c r="C75" s="369"/>
      <c r="D75" s="369"/>
      <c r="E75" s="369"/>
      <c r="F75" s="369"/>
      <c r="G75" s="369"/>
      <c r="H75" s="369"/>
      <c r="I75" s="369"/>
      <c r="J75" s="369"/>
      <c r="K75" s="369"/>
      <c r="L75" s="369"/>
      <c r="M75" s="369"/>
    </row>
    <row r="76" spans="1:26" s="376" customFormat="1" ht="15" x14ac:dyDescent="0.4">
      <c r="A76" s="389" t="s">
        <v>229</v>
      </c>
      <c r="O76" s="531"/>
      <c r="P76" s="531"/>
      <c r="Q76" s="531"/>
      <c r="R76" s="531"/>
      <c r="S76" s="531"/>
      <c r="T76" s="531"/>
      <c r="U76" s="531"/>
      <c r="V76" s="531"/>
      <c r="W76" s="531"/>
      <c r="X76" s="531"/>
      <c r="Y76" s="531"/>
      <c r="Z76" s="531"/>
    </row>
    <row r="77" spans="1:26" ht="13.15" thickBot="1" x14ac:dyDescent="0.4"/>
    <row r="78" spans="1:26" ht="13.5" thickBot="1" x14ac:dyDescent="0.4">
      <c r="A78" s="435" t="s">
        <v>163</v>
      </c>
      <c r="B78" s="1"/>
      <c r="C78" s="1"/>
    </row>
    <row r="79" spans="1:26" ht="18" customHeight="1" x14ac:dyDescent="0.35">
      <c r="A79" s="436" t="s">
        <v>160</v>
      </c>
      <c r="B79" s="437"/>
      <c r="C79" s="438">
        <v>150</v>
      </c>
    </row>
    <row r="80" spans="1:26" ht="18" customHeight="1" x14ac:dyDescent="0.35">
      <c r="A80" s="439" t="s">
        <v>161</v>
      </c>
      <c r="B80" s="440"/>
      <c r="C80" s="441">
        <v>28.799969999999998</v>
      </c>
    </row>
    <row r="81" spans="1:21" ht="18" customHeight="1" x14ac:dyDescent="0.35">
      <c r="A81" s="439" t="s">
        <v>162</v>
      </c>
      <c r="B81" s="440"/>
      <c r="C81" s="441">
        <f>C79*C80/60</f>
        <v>71.999925000000005</v>
      </c>
    </row>
    <row r="82" spans="1:21" ht="18" customHeight="1" x14ac:dyDescent="0.35">
      <c r="A82" s="439" t="s">
        <v>164</v>
      </c>
      <c r="B82" s="440"/>
      <c r="C82" s="442">
        <v>0.1</v>
      </c>
    </row>
    <row r="83" spans="1:21" ht="18" customHeight="1" thickBot="1" x14ac:dyDescent="0.4">
      <c r="A83" s="443" t="s">
        <v>165</v>
      </c>
      <c r="B83" s="444"/>
      <c r="C83" s="445">
        <f>C79*8760*C82</f>
        <v>131400</v>
      </c>
    </row>
    <row r="84" spans="1:21" ht="13.15" thickBot="1" x14ac:dyDescent="0.4">
      <c r="A84" s="352"/>
      <c r="D84" s="353"/>
    </row>
    <row r="85" spans="1:21" s="305" customFormat="1" ht="25.15" customHeight="1" x14ac:dyDescent="0.35">
      <c r="A85" s="642" t="s">
        <v>139</v>
      </c>
      <c r="B85" s="162" t="s">
        <v>228</v>
      </c>
      <c r="C85" s="162"/>
      <c r="D85" s="162"/>
      <c r="E85" s="162"/>
      <c r="F85" s="162"/>
      <c r="G85" s="162"/>
      <c r="H85" s="306" t="s">
        <v>232</v>
      </c>
      <c r="I85" s="306"/>
      <c r="J85" s="354"/>
      <c r="K85" s="354"/>
      <c r="L85" s="354"/>
      <c r="M85" s="307"/>
    </row>
    <row r="86" spans="1:21" s="305" customFormat="1" ht="25.15" customHeight="1" x14ac:dyDescent="0.35">
      <c r="A86" s="643"/>
      <c r="B86" s="164" t="s">
        <v>15</v>
      </c>
      <c r="C86" s="164" t="s">
        <v>16</v>
      </c>
      <c r="D86" s="164" t="s">
        <v>17</v>
      </c>
      <c r="E86" s="164" t="s">
        <v>18</v>
      </c>
      <c r="F86" s="164" t="s">
        <v>19</v>
      </c>
      <c r="G86" s="164" t="s">
        <v>20</v>
      </c>
      <c r="H86" s="164" t="s">
        <v>15</v>
      </c>
      <c r="I86" s="164" t="s">
        <v>16</v>
      </c>
      <c r="J86" s="164" t="s">
        <v>17</v>
      </c>
      <c r="K86" s="164" t="s">
        <v>18</v>
      </c>
      <c r="L86" s="164" t="s">
        <v>19</v>
      </c>
      <c r="M86" s="165" t="s">
        <v>20</v>
      </c>
    </row>
    <row r="87" spans="1:21" s="305" customFormat="1" ht="30" customHeight="1" x14ac:dyDescent="0.35">
      <c r="A87" s="344" t="s">
        <v>2</v>
      </c>
      <c r="B87" s="494">
        <f>'Va. Peajes transporte'!B82</f>
        <v>6.0356558703143941</v>
      </c>
      <c r="C87" s="494">
        <f>'Va. Peajes transporte'!C82</f>
        <v>3.1838877844760236</v>
      </c>
      <c r="D87" s="494">
        <f>'Va. Peajes transporte'!D82</f>
        <v>0.91900476723321545</v>
      </c>
      <c r="E87" s="494">
        <f>'Va. Peajes transporte'!E82</f>
        <v>0.52413031301646951</v>
      </c>
      <c r="F87" s="494">
        <f>'Va. Peajes transporte'!F82</f>
        <v>1.4254137030985815E-2</v>
      </c>
      <c r="G87" s="494">
        <f>'Va. Peajes transporte'!G82</f>
        <v>7.6301273287108489E-3</v>
      </c>
      <c r="H87" s="476">
        <f>'Va. Peajes transporte'!I82</f>
        <v>5.2619941605306147E-3</v>
      </c>
      <c r="I87" s="476">
        <f>'Va. Peajes transporte'!J82</f>
        <v>2.2505436059746466E-3</v>
      </c>
      <c r="J87" s="476">
        <f>'Va. Peajes transporte'!K82</f>
        <v>7.9918035495433136E-4</v>
      </c>
      <c r="K87" s="476">
        <f>'Va. Peajes transporte'!L82</f>
        <v>4.1457902902351752E-4</v>
      </c>
      <c r="L87" s="476">
        <f>'Va. Peajes transporte'!M82</f>
        <v>2.1298795030360889E-5</v>
      </c>
      <c r="M87" s="477">
        <f>'Va. Peajes transporte'!N82</f>
        <v>2.2386055595413587E-6</v>
      </c>
      <c r="O87" s="315"/>
      <c r="P87" s="314"/>
      <c r="Q87" s="314"/>
      <c r="R87" s="314"/>
      <c r="S87" s="314"/>
      <c r="T87" s="314"/>
      <c r="U87" s="308"/>
    </row>
    <row r="88" spans="1:21" s="305" customFormat="1" ht="30" customHeight="1" x14ac:dyDescent="0.35">
      <c r="A88" s="355" t="s">
        <v>143</v>
      </c>
      <c r="B88" s="495">
        <f>'Vb. Peajes distribución'!B82</f>
        <v>10.584712386037898</v>
      </c>
      <c r="C88" s="495">
        <f>'Vb. Peajes distribución'!C82</f>
        <v>6.242164672232053</v>
      </c>
      <c r="D88" s="495">
        <f>'Vb. Peajes distribución'!D82</f>
        <v>1.5625112965152315</v>
      </c>
      <c r="E88" s="495">
        <f>'Vb. Peajes distribución'!E82</f>
        <v>0.98789820474278889</v>
      </c>
      <c r="F88" s="495">
        <f>'Vb. Peajes distribución'!F82</f>
        <v>4.5023547808678871E-2</v>
      </c>
      <c r="G88" s="495">
        <f>'Vb. Peajes distribución'!G82</f>
        <v>4.5023547808678871E-2</v>
      </c>
      <c r="H88" s="480">
        <f>'Vb. Peajes distribución'!I82</f>
        <v>9.5079601043460173E-3</v>
      </c>
      <c r="I88" s="480">
        <f>'Vb. Peajes distribución'!J82</f>
        <v>4.5885268461135914E-3</v>
      </c>
      <c r="J88" s="480">
        <f>'Vb. Peajes distribución'!K82</f>
        <v>1.4802737901091127E-3</v>
      </c>
      <c r="K88" s="480">
        <f>'Vb. Peajes distribución'!L82</f>
        <v>8.0414287524023336E-4</v>
      </c>
      <c r="L88" s="480">
        <f>'Vb. Peajes distribución'!M82</f>
        <v>4.2375645373457278E-5</v>
      </c>
      <c r="M88" s="574">
        <f>'Vb. Peajes distribución'!N82</f>
        <v>1.7768577553476602E-5</v>
      </c>
      <c r="O88" s="315"/>
      <c r="P88" s="314"/>
      <c r="Q88" s="314"/>
      <c r="R88" s="314"/>
      <c r="S88" s="314"/>
      <c r="T88" s="314"/>
      <c r="U88" s="308"/>
    </row>
    <row r="89" spans="1:21" s="305" customFormat="1" ht="30" customHeight="1" thickBot="1" x14ac:dyDescent="0.4">
      <c r="A89" s="370" t="s">
        <v>147</v>
      </c>
      <c r="B89" s="496">
        <f>SUM(B87:B88)</f>
        <v>16.620368256352293</v>
      </c>
      <c r="C89" s="496">
        <f>SUM(C87:C88)</f>
        <v>9.4260524567080761</v>
      </c>
      <c r="D89" s="496">
        <f t="shared" ref="D89:G89" si="42">SUM(D87:D88)</f>
        <v>2.481516063748447</v>
      </c>
      <c r="E89" s="496">
        <f t="shared" si="42"/>
        <v>1.5120285177592585</v>
      </c>
      <c r="F89" s="496">
        <f t="shared" si="42"/>
        <v>5.9277684839664682E-2</v>
      </c>
      <c r="G89" s="496">
        <f t="shared" si="42"/>
        <v>5.2653675137389722E-2</v>
      </c>
      <c r="H89" s="478">
        <f>SUM(H87:H88)</f>
        <v>1.4769954264876633E-2</v>
      </c>
      <c r="I89" s="478">
        <f t="shared" ref="I89:M89" si="43">SUM(I87:I88)</f>
        <v>6.8390704520882376E-3</v>
      </c>
      <c r="J89" s="478">
        <f t="shared" si="43"/>
        <v>2.2794541450634441E-3</v>
      </c>
      <c r="K89" s="478">
        <f t="shared" si="43"/>
        <v>1.218721904263751E-3</v>
      </c>
      <c r="L89" s="478">
        <f t="shared" si="43"/>
        <v>6.3674440403818164E-5</v>
      </c>
      <c r="M89" s="479">
        <f t="shared" si="43"/>
        <v>2.000718311301796E-5</v>
      </c>
      <c r="O89" s="315"/>
      <c r="P89" s="314"/>
      <c r="Q89" s="314"/>
      <c r="R89" s="314"/>
      <c r="S89" s="314"/>
      <c r="T89" s="314"/>
      <c r="U89" s="308"/>
    </row>
    <row r="90" spans="1:21" ht="13.15" thickBot="1" x14ac:dyDescent="0.4">
      <c r="A90" s="351"/>
      <c r="B90" s="40">
        <f>'Va. Peajes transporte'!B82-B87</f>
        <v>0</v>
      </c>
      <c r="C90" s="40">
        <f>'Va. Peajes transporte'!C82-C87</f>
        <v>0</v>
      </c>
      <c r="D90" s="40">
        <f>'Va. Peajes transporte'!D82-D87</f>
        <v>0</v>
      </c>
      <c r="E90" s="40">
        <f>'Va. Peajes transporte'!E82-E87</f>
        <v>0</v>
      </c>
      <c r="F90" s="40">
        <f>'Va. Peajes transporte'!F82-F87</f>
        <v>0</v>
      </c>
      <c r="G90" s="40">
        <f>'Va. Peajes transporte'!G82-G87</f>
        <v>0</v>
      </c>
      <c r="H90" s="290"/>
      <c r="I90" s="290"/>
      <c r="J90" s="290"/>
      <c r="K90" s="290"/>
      <c r="L90" s="290"/>
      <c r="M90" s="290"/>
    </row>
    <row r="91" spans="1:21" s="305" customFormat="1" ht="23.25" customHeight="1" x14ac:dyDescent="0.35">
      <c r="A91" s="642" t="s">
        <v>139</v>
      </c>
      <c r="B91" s="162" t="s">
        <v>230</v>
      </c>
      <c r="C91" s="162"/>
      <c r="D91" s="162"/>
      <c r="E91" s="636" t="s">
        <v>121</v>
      </c>
    </row>
    <row r="92" spans="1:21" s="305" customFormat="1" ht="38.25" x14ac:dyDescent="0.35">
      <c r="A92" s="643"/>
      <c r="B92" s="239" t="s">
        <v>170</v>
      </c>
      <c r="C92" s="239" t="s">
        <v>171</v>
      </c>
      <c r="D92" s="239" t="s">
        <v>172</v>
      </c>
      <c r="E92" s="637"/>
    </row>
    <row r="93" spans="1:21" ht="18" customHeight="1" x14ac:dyDescent="0.35">
      <c r="A93" s="346" t="s">
        <v>149</v>
      </c>
      <c r="B93" s="349">
        <f>$C$79*SUM(B87:G87)</f>
        <v>1602.6844499099695</v>
      </c>
      <c r="C93" s="349">
        <f>$C$83*AVERAGE(H87:M87)</f>
        <v>191.62137666849898</v>
      </c>
      <c r="D93" s="349">
        <f>SUM(B93:C93)</f>
        <v>1794.3058265784684</v>
      </c>
      <c r="E93" s="448">
        <f t="shared" ref="E93" si="44">B93/D93</f>
        <v>0.89320584382546508</v>
      </c>
      <c r="F93" s="238"/>
      <c r="G93" s="238"/>
      <c r="I93" s="238"/>
      <c r="J93" s="238"/>
      <c r="K93" s="238"/>
      <c r="L93" s="238"/>
    </row>
    <row r="94" spans="1:21" ht="18" customHeight="1" x14ac:dyDescent="0.35">
      <c r="A94" s="357" t="s">
        <v>150</v>
      </c>
      <c r="B94" s="449">
        <f>$C$79*SUM(B88:G88)</f>
        <v>2920.1000482717991</v>
      </c>
      <c r="C94" s="449">
        <f>$C$83*AVERAGE(H88:M88)</f>
        <v>360.05894766831591</v>
      </c>
      <c r="D94" s="449">
        <f>SUM(B94:C94)</f>
        <v>3280.1589959401149</v>
      </c>
      <c r="E94" s="450">
        <f>B94/D94</f>
        <v>0.89023125156007243</v>
      </c>
      <c r="F94" s="238"/>
      <c r="G94" s="238"/>
      <c r="I94" s="238"/>
      <c r="J94" s="238"/>
      <c r="K94" s="238"/>
      <c r="L94" s="238"/>
    </row>
    <row r="95" spans="1:21" ht="18" customHeight="1" thickBot="1" x14ac:dyDescent="0.4">
      <c r="A95" s="380" t="s">
        <v>4</v>
      </c>
      <c r="B95" s="451">
        <f>SUM(B93:B94)</f>
        <v>4522.7844981817689</v>
      </c>
      <c r="C95" s="451">
        <f t="shared" ref="C95:D95" si="45">SUM(C93:C94)</f>
        <v>551.68032433681492</v>
      </c>
      <c r="D95" s="451">
        <f t="shared" si="45"/>
        <v>5074.4648225185829</v>
      </c>
      <c r="E95" s="452">
        <f>B95/D95</f>
        <v>0.89128305276870534</v>
      </c>
      <c r="F95" s="238"/>
      <c r="G95" s="238"/>
    </row>
    <row r="96" spans="1:21" s="305" customFormat="1" x14ac:dyDescent="0.35"/>
    <row r="97" spans="1:21" s="305" customFormat="1" ht="13.15" thickBot="1" x14ac:dyDescent="0.4"/>
    <row r="98" spans="1:21" s="305" customFormat="1" ht="36.75" customHeight="1" x14ac:dyDescent="0.35">
      <c r="A98" s="642" t="s">
        <v>139</v>
      </c>
      <c r="B98" s="162" t="s">
        <v>231</v>
      </c>
      <c r="C98" s="163"/>
    </row>
    <row r="99" spans="1:21" s="305" customFormat="1" ht="51" x14ac:dyDescent="0.35">
      <c r="A99" s="643"/>
      <c r="B99" s="239" t="s">
        <v>173</v>
      </c>
      <c r="C99" s="304" t="s">
        <v>174</v>
      </c>
    </row>
    <row r="100" spans="1:21" ht="18" customHeight="1" x14ac:dyDescent="0.35">
      <c r="A100" s="346" t="s">
        <v>149</v>
      </c>
      <c r="B100" s="453">
        <f>D93*20%/B93</f>
        <v>0.22391255205343302</v>
      </c>
      <c r="C100" s="454">
        <f>D93*80%/C93</f>
        <v>7.4910465952139802</v>
      </c>
      <c r="D100" s="305"/>
      <c r="E100" s="305"/>
      <c r="F100" s="238"/>
      <c r="G100" s="238"/>
      <c r="I100" s="238"/>
      <c r="J100" s="238"/>
      <c r="K100" s="238"/>
      <c r="L100" s="238"/>
    </row>
    <row r="101" spans="1:21" ht="18" customHeight="1" thickBot="1" x14ac:dyDescent="0.4">
      <c r="A101" s="347" t="s">
        <v>150</v>
      </c>
      <c r="B101" s="455">
        <f>D94*20%/B94</f>
        <v>0.22466072680498803</v>
      </c>
      <c r="C101" s="456">
        <f>D94*80%/C94</f>
        <v>7.288048842406277</v>
      </c>
      <c r="D101" s="305"/>
      <c r="E101" s="305"/>
      <c r="F101" s="238"/>
      <c r="G101" s="238"/>
      <c r="I101" s="238"/>
      <c r="J101" s="238"/>
      <c r="K101" s="238"/>
      <c r="L101" s="238"/>
    </row>
    <row r="102" spans="1:21" s="305" customFormat="1" ht="13.15" thickBot="1" x14ac:dyDescent="0.4"/>
    <row r="103" spans="1:21" s="305" customFormat="1" ht="25.15" customHeight="1" x14ac:dyDescent="0.35">
      <c r="A103" s="642" t="s">
        <v>139</v>
      </c>
      <c r="B103" s="162" t="s">
        <v>212</v>
      </c>
      <c r="C103" s="162"/>
      <c r="D103" s="162"/>
      <c r="E103" s="162"/>
      <c r="F103" s="162"/>
      <c r="G103" s="162"/>
      <c r="H103" s="306" t="s">
        <v>233</v>
      </c>
      <c r="I103" s="306"/>
      <c r="J103" s="354"/>
      <c r="K103" s="354"/>
      <c r="L103" s="354"/>
      <c r="M103" s="307"/>
    </row>
    <row r="104" spans="1:21" s="305" customFormat="1" ht="25.15" customHeight="1" x14ac:dyDescent="0.35">
      <c r="A104" s="643"/>
      <c r="B104" s="164" t="s">
        <v>15</v>
      </c>
      <c r="C104" s="164" t="s">
        <v>16</v>
      </c>
      <c r="D104" s="164" t="s">
        <v>17</v>
      </c>
      <c r="E104" s="164" t="s">
        <v>18</v>
      </c>
      <c r="F104" s="164" t="s">
        <v>19</v>
      </c>
      <c r="G104" s="164" t="s">
        <v>20</v>
      </c>
      <c r="H104" s="164" t="s">
        <v>15</v>
      </c>
      <c r="I104" s="164" t="s">
        <v>16</v>
      </c>
      <c r="J104" s="164" t="s">
        <v>17</v>
      </c>
      <c r="K104" s="164" t="s">
        <v>18</v>
      </c>
      <c r="L104" s="164" t="s">
        <v>19</v>
      </c>
      <c r="M104" s="165" t="s">
        <v>20</v>
      </c>
    </row>
    <row r="105" spans="1:21" s="305" customFormat="1" ht="30" customHeight="1" x14ac:dyDescent="0.35">
      <c r="A105" s="344" t="s">
        <v>2</v>
      </c>
      <c r="B105" s="494">
        <f>ROUND($B$100*B87,6)</f>
        <v>1.351459</v>
      </c>
      <c r="C105" s="494">
        <f t="shared" ref="C105:G105" si="46">ROUND($B$100*C87,6)</f>
        <v>0.71291199999999999</v>
      </c>
      <c r="D105" s="494">
        <f t="shared" si="46"/>
        <v>0.20577699999999999</v>
      </c>
      <c r="E105" s="494">
        <f t="shared" si="46"/>
        <v>0.117359</v>
      </c>
      <c r="F105" s="494">
        <f t="shared" si="46"/>
        <v>3.192E-3</v>
      </c>
      <c r="G105" s="494">
        <f t="shared" si="46"/>
        <v>1.7080000000000001E-3</v>
      </c>
      <c r="H105" s="476">
        <f>ROUND($C$100*H87,6)</f>
        <v>3.9418000000000002E-2</v>
      </c>
      <c r="I105" s="476">
        <f t="shared" ref="I105:M105" si="47">ROUND($C$100*I87,6)</f>
        <v>1.6858999999999999E-2</v>
      </c>
      <c r="J105" s="476">
        <f t="shared" si="47"/>
        <v>5.9870000000000001E-3</v>
      </c>
      <c r="K105" s="476">
        <f t="shared" si="47"/>
        <v>3.1059999999999998E-3</v>
      </c>
      <c r="L105" s="476">
        <f t="shared" si="47"/>
        <v>1.6000000000000001E-4</v>
      </c>
      <c r="M105" s="477">
        <f t="shared" si="47"/>
        <v>1.7E-5</v>
      </c>
      <c r="O105" s="315"/>
      <c r="P105" s="314"/>
      <c r="Q105" s="314"/>
      <c r="R105" s="314"/>
      <c r="S105" s="314"/>
      <c r="T105" s="314"/>
      <c r="U105" s="308"/>
    </row>
    <row r="106" spans="1:21" s="305" customFormat="1" ht="30" customHeight="1" x14ac:dyDescent="0.35">
      <c r="A106" s="355" t="s">
        <v>143</v>
      </c>
      <c r="B106" s="495">
        <f>ROUND(B88*$B$101,6)</f>
        <v>2.3779690000000002</v>
      </c>
      <c r="C106" s="495">
        <f t="shared" ref="C106:G106" si="48">ROUND(C88*$B$101,6)</f>
        <v>1.402369</v>
      </c>
      <c r="D106" s="495">
        <f t="shared" si="48"/>
        <v>0.35103499999999999</v>
      </c>
      <c r="E106" s="495">
        <f t="shared" si="48"/>
        <v>0.221942</v>
      </c>
      <c r="F106" s="495">
        <f t="shared" si="48"/>
        <v>1.0115000000000001E-2</v>
      </c>
      <c r="G106" s="495">
        <f t="shared" si="48"/>
        <v>1.0115000000000001E-2</v>
      </c>
      <c r="H106" s="480">
        <f>ROUND($C$101*H88,6)</f>
        <v>6.9293999999999994E-2</v>
      </c>
      <c r="I106" s="480">
        <f t="shared" ref="I106:M106" si="49">ROUND($C$101*I88,6)</f>
        <v>3.3440999999999999E-2</v>
      </c>
      <c r="J106" s="480">
        <f t="shared" si="49"/>
        <v>1.0788000000000001E-2</v>
      </c>
      <c r="K106" s="480">
        <f t="shared" si="49"/>
        <v>5.8609999999999999E-3</v>
      </c>
      <c r="L106" s="480">
        <f t="shared" si="49"/>
        <v>3.0899999999999998E-4</v>
      </c>
      <c r="M106" s="574">
        <f t="shared" si="49"/>
        <v>1.2899999999999999E-4</v>
      </c>
      <c r="O106" s="315"/>
      <c r="P106" s="314"/>
      <c r="Q106" s="314"/>
      <c r="R106" s="314"/>
      <c r="S106" s="314"/>
      <c r="T106" s="314"/>
      <c r="U106" s="308"/>
    </row>
    <row r="107" spans="1:21" s="305" customFormat="1" ht="30" customHeight="1" thickBot="1" x14ac:dyDescent="0.4">
      <c r="A107" s="370" t="s">
        <v>147</v>
      </c>
      <c r="B107" s="496">
        <f>SUM(B105:B106)</f>
        <v>3.7294280000000004</v>
      </c>
      <c r="C107" s="496">
        <f>SUM(C105:C106)</f>
        <v>2.115281</v>
      </c>
      <c r="D107" s="496">
        <f t="shared" ref="D107:G107" si="50">SUM(D105:D106)</f>
        <v>0.55681199999999997</v>
      </c>
      <c r="E107" s="496">
        <f t="shared" si="50"/>
        <v>0.33930100000000002</v>
      </c>
      <c r="F107" s="496">
        <f t="shared" si="50"/>
        <v>1.3307000000000001E-2</v>
      </c>
      <c r="G107" s="496">
        <f t="shared" si="50"/>
        <v>1.1823E-2</v>
      </c>
      <c r="H107" s="478">
        <f>SUM(H105:H106)</f>
        <v>0.108712</v>
      </c>
      <c r="I107" s="478">
        <f t="shared" ref="I107:M107" si="51">SUM(I105:I106)</f>
        <v>5.0299999999999997E-2</v>
      </c>
      <c r="J107" s="478">
        <f t="shared" si="51"/>
        <v>1.6775000000000002E-2</v>
      </c>
      <c r="K107" s="478">
        <f t="shared" si="51"/>
        <v>8.9669999999999993E-3</v>
      </c>
      <c r="L107" s="478">
        <f t="shared" si="51"/>
        <v>4.6900000000000002E-4</v>
      </c>
      <c r="M107" s="479">
        <f t="shared" si="51"/>
        <v>1.46E-4</v>
      </c>
      <c r="O107" s="315"/>
      <c r="P107" s="315"/>
      <c r="Q107" s="314"/>
      <c r="R107" s="314"/>
      <c r="S107" s="314"/>
      <c r="T107" s="314"/>
      <c r="U107" s="308"/>
    </row>
  </sheetData>
  <mergeCells count="15">
    <mergeCell ref="A85:A86"/>
    <mergeCell ref="A91:A92"/>
    <mergeCell ref="E91:E92"/>
    <mergeCell ref="A98:A99"/>
    <mergeCell ref="A103:A104"/>
    <mergeCell ref="A64:A65"/>
    <mergeCell ref="A69:A70"/>
    <mergeCell ref="A17:A18"/>
    <mergeCell ref="A51:A52"/>
    <mergeCell ref="A57:A58"/>
    <mergeCell ref="E57:E58"/>
    <mergeCell ref="A23:A24"/>
    <mergeCell ref="E23:E24"/>
    <mergeCell ref="A30:A31"/>
    <mergeCell ref="A35:A36"/>
  </mergeCells>
  <pageMargins left="0.7" right="0.7" top="0.75" bottom="0.75" header="0.3" footer="0.3"/>
  <pageSetup paperSize="9" orientation="portrait" verticalDpi="0" r:id="rId1"/>
  <headerFooter>
    <oddFooter>&amp;C_x000D_&amp;1#&amp;"Calibri"&amp;10&amp;K000000 INTERNA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5F77-AFAB-4D56-9E7E-F948BCC7ABC0}">
  <sheetPr>
    <pageSetUpPr fitToPage="1"/>
  </sheetPr>
  <dimension ref="A1:L72"/>
  <sheetViews>
    <sheetView showGridLines="0" workbookViewId="0"/>
  </sheetViews>
  <sheetFormatPr baseColWidth="10" defaultRowHeight="12.75" x14ac:dyDescent="0.35"/>
  <cols>
    <col min="1" max="1" width="21.3984375" customWidth="1"/>
    <col min="11" max="11" width="2.3984375" customWidth="1"/>
  </cols>
  <sheetData>
    <row r="1" spans="1:12" s="1" customFormat="1" x14ac:dyDescent="0.35"/>
    <row r="2" spans="1:12" s="1" customFormat="1" x14ac:dyDescent="0.35"/>
    <row r="3" spans="1:12" s="1" customFormat="1" x14ac:dyDescent="0.35"/>
    <row r="4" spans="1:12" s="1" customFormat="1" x14ac:dyDescent="0.35"/>
    <row r="5" spans="1:12" s="1" customFormat="1" x14ac:dyDescent="0.35"/>
    <row r="6" spans="1:12" s="4" customFormat="1" ht="30" customHeight="1" x14ac:dyDescent="0.35">
      <c r="A6" s="534" t="s">
        <v>226</v>
      </c>
      <c r="B6" s="365"/>
    </row>
    <row r="7" spans="1:12" ht="5.25" customHeight="1" x14ac:dyDescent="0.35"/>
    <row r="8" spans="1:12" s="376" customFormat="1" ht="15" x14ac:dyDescent="0.4">
      <c r="A8" s="381" t="s">
        <v>73</v>
      </c>
      <c r="B8" s="382"/>
      <c r="C8" s="382"/>
      <c r="D8" s="382"/>
      <c r="E8" s="382"/>
      <c r="F8" s="382"/>
      <c r="G8" s="382"/>
      <c r="H8" s="382"/>
      <c r="I8" s="382"/>
      <c r="J8" s="382"/>
    </row>
    <row r="9" spans="1:12" ht="13.15" thickBot="1" x14ac:dyDescent="0.4"/>
    <row r="10" spans="1:12" ht="27.75" customHeight="1" thickBot="1" x14ac:dyDescent="0.4">
      <c r="A10" s="1"/>
      <c r="B10" s="1"/>
      <c r="C10" s="417" t="s">
        <v>38</v>
      </c>
      <c r="D10" s="418"/>
      <c r="E10" s="418"/>
      <c r="F10" s="419"/>
      <c r="G10" s="1"/>
      <c r="H10" s="1"/>
      <c r="I10" s="1"/>
      <c r="J10" s="1"/>
    </row>
    <row r="11" spans="1:12" ht="26.65" thickBot="1" x14ac:dyDescent="0.4">
      <c r="A11" s="413" t="s">
        <v>48</v>
      </c>
      <c r="B11" s="414" t="s">
        <v>104</v>
      </c>
      <c r="C11" s="415" t="s">
        <v>67</v>
      </c>
      <c r="D11" s="415" t="s">
        <v>39</v>
      </c>
      <c r="E11" s="415" t="s">
        <v>40</v>
      </c>
      <c r="F11" s="415" t="s">
        <v>41</v>
      </c>
      <c r="G11" s="414" t="s">
        <v>42</v>
      </c>
      <c r="H11" s="414" t="s">
        <v>43</v>
      </c>
      <c r="I11" s="414" t="s">
        <v>9</v>
      </c>
      <c r="J11" s="416" t="s">
        <v>44</v>
      </c>
    </row>
    <row r="12" spans="1:12" x14ac:dyDescent="0.35">
      <c r="A12" s="420" t="s">
        <v>37</v>
      </c>
      <c r="B12" s="421">
        <v>29126.477146505378</v>
      </c>
      <c r="C12" s="421">
        <v>12862.119208282229</v>
      </c>
      <c r="D12" s="421">
        <v>7417.1557563780743</v>
      </c>
      <c r="E12" s="421">
        <v>6683.0181818450765</v>
      </c>
      <c r="F12" s="421">
        <v>0</v>
      </c>
      <c r="G12" s="421">
        <v>1684.2149999999999</v>
      </c>
      <c r="H12" s="422">
        <f>G12/$G$17</f>
        <v>4.8335946125960934E-2</v>
      </c>
      <c r="I12" s="421">
        <v>479.96900000000022</v>
      </c>
      <c r="J12" s="423">
        <f>SUM(B12:B12)/SUM(C12:G12)-1</f>
        <v>1.6754886757761822E-2</v>
      </c>
      <c r="L12" s="575"/>
    </row>
    <row r="13" spans="1:12" x14ac:dyDescent="0.35">
      <c r="A13" s="424" t="s">
        <v>36</v>
      </c>
      <c r="B13" s="425">
        <v>4581.2070000000003</v>
      </c>
      <c r="C13" s="425">
        <v>0</v>
      </c>
      <c r="D13" s="425">
        <v>5474.8871446678013</v>
      </c>
      <c r="E13" s="425">
        <v>10740.158353723875</v>
      </c>
      <c r="F13" s="425">
        <v>0</v>
      </c>
      <c r="G13" s="425">
        <v>959.53800000000001</v>
      </c>
      <c r="H13" s="426">
        <f>G13/$G$17</f>
        <v>2.7538156989346554E-2</v>
      </c>
      <c r="I13" s="425">
        <v>268.7427098905514</v>
      </c>
      <c r="J13" s="427">
        <f>SUM(B13:B13,C17)/SUM(C13:G13)-1</f>
        <v>1.5647698817017552E-2</v>
      </c>
      <c r="L13" s="575"/>
    </row>
    <row r="14" spans="1:12" x14ac:dyDescent="0.35">
      <c r="A14" s="424" t="s">
        <v>35</v>
      </c>
      <c r="B14" s="425">
        <v>5225.7060000000001</v>
      </c>
      <c r="C14" s="425">
        <v>0</v>
      </c>
      <c r="D14" s="425">
        <v>0</v>
      </c>
      <c r="E14" s="425">
        <v>14876.861475033555</v>
      </c>
      <c r="F14" s="425">
        <v>3.3878886578094334</v>
      </c>
      <c r="G14" s="425">
        <v>2874.6550000000002</v>
      </c>
      <c r="H14" s="426">
        <f>G14/$G$17</f>
        <v>8.2500850075984511E-2</v>
      </c>
      <c r="I14" s="425">
        <v>362.84453735451154</v>
      </c>
      <c r="J14" s="427">
        <f>SUM(B14:B14,D17)/SUM(C14:G14)-1</f>
        <v>2.043629917244294E-2</v>
      </c>
      <c r="L14" s="575"/>
    </row>
    <row r="15" spans="1:12" x14ac:dyDescent="0.35">
      <c r="A15" s="424" t="s">
        <v>34</v>
      </c>
      <c r="B15" s="425">
        <v>651.79499900000008</v>
      </c>
      <c r="C15" s="425">
        <v>0</v>
      </c>
      <c r="D15" s="425">
        <v>0</v>
      </c>
      <c r="E15" s="425">
        <v>0</v>
      </c>
      <c r="F15" s="425">
        <v>23108.243946465373</v>
      </c>
      <c r="G15" s="425">
        <v>8675.3629999999994</v>
      </c>
      <c r="H15" s="426">
        <f>G15/$G$17</f>
        <v>0.24897764156663776</v>
      </c>
      <c r="I15" s="425">
        <v>1168.2260631371362</v>
      </c>
      <c r="J15" s="427">
        <f>SUM(B15:B15,E17)/SUM(C15:G15)-1</f>
        <v>3.6755616349800402E-2</v>
      </c>
      <c r="L15" s="575"/>
    </row>
    <row r="16" spans="1:12" ht="13.15" thickBot="1" x14ac:dyDescent="0.4">
      <c r="A16" s="428" t="s">
        <v>47</v>
      </c>
      <c r="B16" s="429">
        <v>-2.6069999999999984</v>
      </c>
      <c r="C16" s="429">
        <v>0</v>
      </c>
      <c r="D16" s="429">
        <v>0</v>
      </c>
      <c r="E16" s="429">
        <v>0</v>
      </c>
      <c r="F16" s="429">
        <v>0</v>
      </c>
      <c r="G16" s="429">
        <v>20650.173000000003</v>
      </c>
      <c r="H16" s="430">
        <f>G16/$G$17</f>
        <v>0.59264740524207016</v>
      </c>
      <c r="I16" s="429">
        <v>2458.8518351231846</v>
      </c>
      <c r="J16" s="431">
        <f>SUM(B16:B16,F17)/SUM(C16:G16)-1</f>
        <v>0.11907173054304088</v>
      </c>
      <c r="L16" s="575"/>
    </row>
    <row r="17" spans="1:12" ht="13.5" thickBot="1" x14ac:dyDescent="0.4">
      <c r="A17" s="383" t="s">
        <v>4</v>
      </c>
      <c r="B17" s="432">
        <f t="shared" ref="B17:I17" si="0">SUM(B12:B16)</f>
        <v>39582.578145505373</v>
      </c>
      <c r="C17" s="432">
        <f t="shared" si="0"/>
        <v>12862.119208282229</v>
      </c>
      <c r="D17" s="432">
        <f t="shared" si="0"/>
        <v>12892.042901045876</v>
      </c>
      <c r="E17" s="432">
        <f t="shared" si="0"/>
        <v>32300.038010602504</v>
      </c>
      <c r="F17" s="432">
        <f t="shared" si="0"/>
        <v>23111.631835123182</v>
      </c>
      <c r="G17" s="432">
        <f t="shared" si="0"/>
        <v>34843.944000000003</v>
      </c>
      <c r="H17" s="433">
        <f>SUM(H12:H16)</f>
        <v>0.99999999999999989</v>
      </c>
      <c r="I17" s="432">
        <f t="shared" si="0"/>
        <v>4738.6341455053844</v>
      </c>
      <c r="J17" s="434"/>
    </row>
    <row r="19" spans="1:12" s="376" customFormat="1" ht="15" x14ac:dyDescent="0.4">
      <c r="A19" s="381" t="s">
        <v>74</v>
      </c>
      <c r="B19" s="382"/>
      <c r="C19" s="382"/>
      <c r="D19" s="382"/>
      <c r="E19" s="382"/>
      <c r="F19" s="382"/>
      <c r="G19" s="382"/>
      <c r="H19" s="382"/>
      <c r="I19" s="382"/>
      <c r="J19" s="382"/>
    </row>
    <row r="20" spans="1:12" ht="13.15" thickBot="1" x14ac:dyDescent="0.4"/>
    <row r="21" spans="1:12" ht="27.75" customHeight="1" thickBot="1" x14ac:dyDescent="0.4">
      <c r="A21" s="1"/>
      <c r="B21" s="1"/>
      <c r="C21" s="417" t="s">
        <v>38</v>
      </c>
      <c r="D21" s="418"/>
      <c r="E21" s="418"/>
      <c r="F21" s="419"/>
      <c r="G21" s="1"/>
      <c r="H21" s="1"/>
      <c r="I21" s="1"/>
      <c r="J21" s="1"/>
    </row>
    <row r="22" spans="1:12" ht="26.65" thickBot="1" x14ac:dyDescent="0.4">
      <c r="A22" s="413" t="s">
        <v>48</v>
      </c>
      <c r="B22" s="414" t="s">
        <v>104</v>
      </c>
      <c r="C22" s="415" t="s">
        <v>67</v>
      </c>
      <c r="D22" s="415" t="s">
        <v>39</v>
      </c>
      <c r="E22" s="415" t="s">
        <v>40</v>
      </c>
      <c r="F22" s="415" t="s">
        <v>41</v>
      </c>
      <c r="G22" s="414" t="s">
        <v>42</v>
      </c>
      <c r="H22" s="414" t="s">
        <v>43</v>
      </c>
      <c r="I22" s="414" t="s">
        <v>9</v>
      </c>
      <c r="J22" s="416" t="s">
        <v>44</v>
      </c>
    </row>
    <row r="23" spans="1:12" x14ac:dyDescent="0.35">
      <c r="A23" s="420" t="s">
        <v>37</v>
      </c>
      <c r="B23" s="421">
        <v>27890.726844565277</v>
      </c>
      <c r="C23" s="421">
        <v>12162.705635766768</v>
      </c>
      <c r="D23" s="421">
        <v>7230.1354652574046</v>
      </c>
      <c r="E23" s="421">
        <v>6332.4937435411084</v>
      </c>
      <c r="F23" s="421">
        <v>0</v>
      </c>
      <c r="G23" s="421">
        <v>1915.768</v>
      </c>
      <c r="H23" s="422">
        <f>G23/$G$28</f>
        <v>5.6499617136297475E-2</v>
      </c>
      <c r="I23" s="421">
        <v>249.62399999999994</v>
      </c>
      <c r="J23" s="423">
        <f>SUM(B23:B23)/SUM(C23:G23)-1</f>
        <v>9.0308987092053705E-3</v>
      </c>
      <c r="L23" s="575"/>
    </row>
    <row r="24" spans="1:12" x14ac:dyDescent="0.35">
      <c r="A24" s="424" t="s">
        <v>36</v>
      </c>
      <c r="B24" s="425">
        <v>4667.5020000000004</v>
      </c>
      <c r="C24" s="425">
        <v>0</v>
      </c>
      <c r="D24" s="425">
        <v>5205.8542628684991</v>
      </c>
      <c r="E24" s="425">
        <v>10259.422010463675</v>
      </c>
      <c r="F24" s="425">
        <v>0</v>
      </c>
      <c r="G24" s="425">
        <v>1058.6209999999999</v>
      </c>
      <c r="H24" s="426">
        <f>G24/$G$28</f>
        <v>3.1220732986689603E-2</v>
      </c>
      <c r="I24" s="425">
        <v>306.3103624345913</v>
      </c>
      <c r="J24" s="427">
        <f>SUM(B24:B24,C28)/SUM(C24:G24)-1</f>
        <v>1.853741628671024E-2</v>
      </c>
      <c r="L24" s="575"/>
    </row>
    <row r="25" spans="1:12" x14ac:dyDescent="0.35">
      <c r="A25" s="424" t="s">
        <v>35</v>
      </c>
      <c r="B25" s="425">
        <v>5001.1559999999999</v>
      </c>
      <c r="C25" s="425">
        <v>0</v>
      </c>
      <c r="D25" s="425">
        <v>0</v>
      </c>
      <c r="E25" s="425">
        <v>14173.680097522141</v>
      </c>
      <c r="F25" s="425">
        <v>3.2546732316907714</v>
      </c>
      <c r="G25" s="425">
        <v>2859.326</v>
      </c>
      <c r="H25" s="426">
        <f>G25/$G$28</f>
        <v>8.4326924903151593E-2</v>
      </c>
      <c r="I25" s="425">
        <v>400.88495737207046</v>
      </c>
      <c r="J25" s="427">
        <f>SUM(B25:B25,D28)/SUM(C25:G25)-1</f>
        <v>2.353127618592632E-2</v>
      </c>
      <c r="L25" s="575"/>
    </row>
    <row r="26" spans="1:12" x14ac:dyDescent="0.35">
      <c r="A26" s="424" t="s">
        <v>34</v>
      </c>
      <c r="B26" s="425">
        <v>732.53099999999995</v>
      </c>
      <c r="C26" s="425">
        <v>0</v>
      </c>
      <c r="D26" s="425">
        <v>0</v>
      </c>
      <c r="E26" s="425">
        <v>0</v>
      </c>
      <c r="F26" s="425">
        <v>21792.987660873412</v>
      </c>
      <c r="G26" s="425">
        <v>8591.3179999999993</v>
      </c>
      <c r="H26" s="426">
        <f>G26/$G$28</f>
        <v>0.25337419650823112</v>
      </c>
      <c r="I26" s="425">
        <v>1113.820705353512</v>
      </c>
      <c r="J26" s="427">
        <f>SUM(B26:B26,E28)/SUM(C26:G26)-1</f>
        <v>3.6657779943538582E-2</v>
      </c>
      <c r="L26" s="575"/>
    </row>
    <row r="27" spans="1:12" ht="13.15" thickBot="1" x14ac:dyDescent="0.4">
      <c r="A27" s="428" t="s">
        <v>47</v>
      </c>
      <c r="B27" s="429">
        <v>2.3339999999999996</v>
      </c>
      <c r="C27" s="429">
        <v>0</v>
      </c>
      <c r="D27" s="429">
        <v>0</v>
      </c>
      <c r="E27" s="429">
        <v>0</v>
      </c>
      <c r="F27" s="429">
        <v>0</v>
      </c>
      <c r="G27" s="429">
        <v>19482.594999999998</v>
      </c>
      <c r="H27" s="430">
        <f>G27/$G$28</f>
        <v>0.57457852846563018</v>
      </c>
      <c r="I27" s="429">
        <v>2315.9818194051086</v>
      </c>
      <c r="J27" s="431">
        <f>SUM(B27:B27,F28)/SUM(C27:G27)-1</f>
        <v>0.11887437654507038</v>
      </c>
      <c r="L27" s="575"/>
    </row>
    <row r="28" spans="1:12" ht="13.5" thickBot="1" x14ac:dyDescent="0.4">
      <c r="A28" s="383" t="s">
        <v>4</v>
      </c>
      <c r="B28" s="432">
        <f t="shared" ref="B28:I28" si="1">SUM(B23:B27)</f>
        <v>38294.249844565282</v>
      </c>
      <c r="C28" s="432">
        <f t="shared" si="1"/>
        <v>12162.705635766768</v>
      </c>
      <c r="D28" s="432">
        <f t="shared" si="1"/>
        <v>12435.989728125904</v>
      </c>
      <c r="E28" s="432">
        <f t="shared" si="1"/>
        <v>30765.595851526923</v>
      </c>
      <c r="F28" s="432">
        <f t="shared" si="1"/>
        <v>21796.242334105104</v>
      </c>
      <c r="G28" s="432">
        <f t="shared" si="1"/>
        <v>33907.627999999997</v>
      </c>
      <c r="H28" s="433">
        <f t="shared" si="1"/>
        <v>1</v>
      </c>
      <c r="I28" s="432">
        <f t="shared" si="1"/>
        <v>4386.6218445652821</v>
      </c>
      <c r="J28" s="434"/>
    </row>
    <row r="30" spans="1:12" s="376" customFormat="1" ht="15" x14ac:dyDescent="0.4">
      <c r="A30" s="381" t="s">
        <v>75</v>
      </c>
      <c r="B30" s="382"/>
      <c r="C30" s="382"/>
      <c r="D30" s="382"/>
      <c r="E30" s="382"/>
      <c r="F30" s="382"/>
      <c r="G30" s="382"/>
      <c r="H30" s="382"/>
      <c r="I30" s="382"/>
      <c r="J30" s="382"/>
    </row>
    <row r="31" spans="1:12" ht="13.15" thickBot="1" x14ac:dyDescent="0.4"/>
    <row r="32" spans="1:12" ht="27.75" customHeight="1" thickBot="1" x14ac:dyDescent="0.4">
      <c r="A32" s="1"/>
      <c r="B32" s="1"/>
      <c r="C32" s="417" t="s">
        <v>38</v>
      </c>
      <c r="D32" s="418"/>
      <c r="E32" s="418"/>
      <c r="F32" s="419"/>
      <c r="G32" s="1"/>
      <c r="H32" s="1"/>
      <c r="I32" s="1"/>
      <c r="J32" s="1"/>
    </row>
    <row r="33" spans="1:12" ht="26.65" thickBot="1" x14ac:dyDescent="0.4">
      <c r="A33" s="413" t="s">
        <v>48</v>
      </c>
      <c r="B33" s="414" t="s">
        <v>104</v>
      </c>
      <c r="C33" s="415" t="s">
        <v>67</v>
      </c>
      <c r="D33" s="415" t="s">
        <v>39</v>
      </c>
      <c r="E33" s="415" t="s">
        <v>40</v>
      </c>
      <c r="F33" s="415" t="s">
        <v>41</v>
      </c>
      <c r="G33" s="414" t="s">
        <v>42</v>
      </c>
      <c r="H33" s="414" t="s">
        <v>43</v>
      </c>
      <c r="I33" s="414" t="s">
        <v>9</v>
      </c>
      <c r="J33" s="416" t="s">
        <v>44</v>
      </c>
    </row>
    <row r="34" spans="1:12" x14ac:dyDescent="0.35">
      <c r="A34" s="420" t="s">
        <v>37</v>
      </c>
      <c r="B34" s="421">
        <v>28538.055</v>
      </c>
      <c r="C34" s="421">
        <v>12705.99055671966</v>
      </c>
      <c r="D34" s="421">
        <v>7758.5809225666608</v>
      </c>
      <c r="E34" s="421">
        <v>6183.9815207136789</v>
      </c>
      <c r="F34" s="421">
        <v>0</v>
      </c>
      <c r="G34" s="421">
        <v>1670.018</v>
      </c>
      <c r="H34" s="422">
        <f>G34/$G$39</f>
        <v>5.1248389644119367E-2</v>
      </c>
      <c r="I34" s="421">
        <v>219.48400000000009</v>
      </c>
      <c r="J34" s="423">
        <f>SUM(B34:B34)/SUM(C34:G34)-1</f>
        <v>7.7505323273550086E-3</v>
      </c>
      <c r="L34" s="575"/>
    </row>
    <row r="35" spans="1:12" x14ac:dyDescent="0.35">
      <c r="A35" s="424" t="s">
        <v>36</v>
      </c>
      <c r="B35" s="425">
        <v>2864.2523059597697</v>
      </c>
      <c r="C35" s="425">
        <v>0</v>
      </c>
      <c r="D35" s="425">
        <v>4680.2987415421067</v>
      </c>
      <c r="E35" s="425">
        <v>9561.8151778813699</v>
      </c>
      <c r="F35" s="425">
        <v>0</v>
      </c>
      <c r="G35" s="425">
        <v>1104.1180000000002</v>
      </c>
      <c r="H35" s="426">
        <f>G35/$G$39</f>
        <v>3.3882430894209399E-2</v>
      </c>
      <c r="I35" s="425">
        <v>224.0109432559511</v>
      </c>
      <c r="J35" s="427">
        <f>SUM(B35:B35,C39)/SUM(C35:G35)-1</f>
        <v>1.4597130059817776E-2</v>
      </c>
      <c r="L35" s="575"/>
    </row>
    <row r="36" spans="1:12" x14ac:dyDescent="0.35">
      <c r="A36" s="424" t="s">
        <v>35</v>
      </c>
      <c r="B36" s="425">
        <v>4112.6120000000001</v>
      </c>
      <c r="C36" s="425">
        <v>0</v>
      </c>
      <c r="D36" s="425">
        <v>0</v>
      </c>
      <c r="E36" s="425">
        <v>13733.05577440663</v>
      </c>
      <c r="F36" s="425">
        <v>3.3720311237234135</v>
      </c>
      <c r="G36" s="425">
        <v>2511.6880000000001</v>
      </c>
      <c r="H36" s="426">
        <f>G36/$G$39</f>
        <v>7.7076992756041476E-2</v>
      </c>
      <c r="I36" s="425">
        <v>303.37585857841361</v>
      </c>
      <c r="J36" s="427">
        <f>SUM(B36:B36,D39)/SUM(C36:G36)-1</f>
        <v>1.867144856729519E-2</v>
      </c>
      <c r="L36" s="575"/>
    </row>
    <row r="37" spans="1:12" x14ac:dyDescent="0.35">
      <c r="A37" s="424" t="s">
        <v>34</v>
      </c>
      <c r="B37" s="425">
        <v>409.44499800000011</v>
      </c>
      <c r="C37" s="425">
        <v>0</v>
      </c>
      <c r="D37" s="425">
        <v>0</v>
      </c>
      <c r="E37" s="425">
        <v>0</v>
      </c>
      <c r="F37" s="425">
        <v>19990.304123742895</v>
      </c>
      <c r="G37" s="425">
        <v>9054.9240000000009</v>
      </c>
      <c r="H37" s="426">
        <f>G37/$G$39</f>
        <v>0.27787142015827848</v>
      </c>
      <c r="I37" s="425">
        <v>843.06905425878631</v>
      </c>
      <c r="J37" s="427">
        <f>SUM(B37:B37,E39)/SUM(C37:G37)-1</f>
        <v>2.9026087991700589E-2</v>
      </c>
      <c r="L37" s="575"/>
    </row>
    <row r="38" spans="1:12" ht="13.15" thickBot="1" x14ac:dyDescent="0.4">
      <c r="A38" s="428" t="s">
        <v>47</v>
      </c>
      <c r="B38" s="429">
        <v>35.067</v>
      </c>
      <c r="C38" s="429">
        <v>0</v>
      </c>
      <c r="D38" s="429">
        <v>0</v>
      </c>
      <c r="E38" s="429">
        <v>0</v>
      </c>
      <c r="F38" s="429">
        <v>0</v>
      </c>
      <c r="G38" s="429">
        <v>18245.993000000002</v>
      </c>
      <c r="H38" s="430">
        <f>G38/$G$39</f>
        <v>0.55992076654735135</v>
      </c>
      <c r="I38" s="429">
        <v>1782.7504478666151</v>
      </c>
      <c r="J38" s="431">
        <f>SUM(B38:B38,F39)/SUM(C38:G38)-1</f>
        <v>9.7706392568856826E-2</v>
      </c>
      <c r="L38" s="575"/>
    </row>
    <row r="39" spans="1:12" ht="13.5" thickBot="1" x14ac:dyDescent="0.4">
      <c r="A39" s="383" t="s">
        <v>4</v>
      </c>
      <c r="B39" s="432">
        <f t="shared" ref="B39:I39" si="2">SUM(B34:B38)</f>
        <v>35959.431303959769</v>
      </c>
      <c r="C39" s="432">
        <f t="shared" si="2"/>
        <v>12705.99055671966</v>
      </c>
      <c r="D39" s="432">
        <f t="shared" si="2"/>
        <v>12438.879664108768</v>
      </c>
      <c r="E39" s="432">
        <f t="shared" si="2"/>
        <v>29478.85247300168</v>
      </c>
      <c r="F39" s="432">
        <f t="shared" si="2"/>
        <v>19993.676154866618</v>
      </c>
      <c r="G39" s="432">
        <f t="shared" si="2"/>
        <v>32586.741000000002</v>
      </c>
      <c r="H39" s="433">
        <f t="shared" si="2"/>
        <v>1</v>
      </c>
      <c r="I39" s="432">
        <f t="shared" si="2"/>
        <v>3372.6903039597664</v>
      </c>
      <c r="J39" s="434"/>
    </row>
    <row r="41" spans="1:12" s="376" customFormat="1" ht="15" x14ac:dyDescent="0.4">
      <c r="A41" s="381" t="s">
        <v>76</v>
      </c>
      <c r="B41" s="382"/>
      <c r="C41" s="382"/>
      <c r="D41" s="382"/>
      <c r="E41" s="382"/>
      <c r="F41" s="382"/>
      <c r="G41" s="382"/>
      <c r="H41" s="382"/>
      <c r="I41" s="382"/>
      <c r="J41" s="382"/>
    </row>
    <row r="42" spans="1:12" ht="13.15" thickBot="1" x14ac:dyDescent="0.4"/>
    <row r="43" spans="1:12" ht="27.75" customHeight="1" thickBot="1" x14ac:dyDescent="0.4">
      <c r="A43" s="1"/>
      <c r="B43" s="1"/>
      <c r="C43" s="417" t="s">
        <v>38</v>
      </c>
      <c r="D43" s="418"/>
      <c r="E43" s="418"/>
      <c r="F43" s="419"/>
      <c r="G43" s="1"/>
      <c r="H43" s="1"/>
      <c r="I43" s="1"/>
      <c r="J43" s="1"/>
    </row>
    <row r="44" spans="1:12" ht="26.65" thickBot="1" x14ac:dyDescent="0.4">
      <c r="A44" s="413" t="s">
        <v>48</v>
      </c>
      <c r="B44" s="414" t="s">
        <v>104</v>
      </c>
      <c r="C44" s="415" t="s">
        <v>67</v>
      </c>
      <c r="D44" s="415" t="s">
        <v>39</v>
      </c>
      <c r="E44" s="415" t="s">
        <v>40</v>
      </c>
      <c r="F44" s="415" t="s">
        <v>41</v>
      </c>
      <c r="G44" s="414" t="s">
        <v>42</v>
      </c>
      <c r="H44" s="414" t="s">
        <v>43</v>
      </c>
      <c r="I44" s="414" t="s">
        <v>9</v>
      </c>
      <c r="J44" s="416" t="s">
        <v>44</v>
      </c>
    </row>
    <row r="45" spans="1:12" x14ac:dyDescent="0.35">
      <c r="A45" s="420" t="s">
        <v>37</v>
      </c>
      <c r="B45" s="421">
        <v>24219.41</v>
      </c>
      <c r="C45" s="421">
        <v>10001.605900177652</v>
      </c>
      <c r="D45" s="421">
        <v>6236.4533969096256</v>
      </c>
      <c r="E45" s="421">
        <v>6046.4797029127221</v>
      </c>
      <c r="F45" s="421">
        <v>0</v>
      </c>
      <c r="G45" s="421">
        <v>1702.0829999999999</v>
      </c>
      <c r="H45" s="422">
        <f>G45/$G$50</f>
        <v>5.0965782936535753E-2</v>
      </c>
      <c r="I45" s="421">
        <v>232.78800000000001</v>
      </c>
      <c r="J45" s="423">
        <f>SUM(B45:B45)/SUM(C45:G45)-1</f>
        <v>9.7049096784032063E-3</v>
      </c>
      <c r="L45" s="575"/>
    </row>
    <row r="46" spans="1:12" x14ac:dyDescent="0.35">
      <c r="A46" s="424" t="s">
        <v>36</v>
      </c>
      <c r="B46" s="425">
        <v>3830.6814254441451</v>
      </c>
      <c r="C46" s="425">
        <v>0</v>
      </c>
      <c r="D46" s="425">
        <v>3883.2628369187573</v>
      </c>
      <c r="E46" s="425">
        <v>8640.0328567433062</v>
      </c>
      <c r="F46" s="425">
        <v>0</v>
      </c>
      <c r="G46" s="425">
        <v>1111.8649999999998</v>
      </c>
      <c r="H46" s="426">
        <f>G46/$G$50</f>
        <v>3.3292777288023739E-2</v>
      </c>
      <c r="I46" s="425">
        <v>197.12663195973471</v>
      </c>
      <c r="J46" s="427">
        <f>SUM(B46:B46,C50)/SUM(C46:G46)-1</f>
        <v>1.4457228366319352E-2</v>
      </c>
      <c r="L46" s="575"/>
    </row>
    <row r="47" spans="1:12" x14ac:dyDescent="0.35">
      <c r="A47" s="424" t="s">
        <v>35</v>
      </c>
      <c r="B47" s="425">
        <v>4920.0316291402778</v>
      </c>
      <c r="C47" s="425">
        <v>0</v>
      </c>
      <c r="D47" s="425">
        <v>0</v>
      </c>
      <c r="E47" s="425">
        <v>12280.735668752894</v>
      </c>
      <c r="F47" s="425">
        <v>3.2859817216658729</v>
      </c>
      <c r="G47" s="425">
        <v>2450.848</v>
      </c>
      <c r="H47" s="426">
        <f>G47/$G$50</f>
        <v>7.3386190437506743E-2</v>
      </c>
      <c r="I47" s="425">
        <v>304.87821249409967</v>
      </c>
      <c r="J47" s="427">
        <f>SUM(B47:B47,D50)/SUM(C47:G47)-1</f>
        <v>2.0690933800305622E-2</v>
      </c>
      <c r="L47" s="575"/>
    </row>
    <row r="48" spans="1:12" x14ac:dyDescent="0.35">
      <c r="A48" s="424" t="s">
        <v>34</v>
      </c>
      <c r="B48" s="425">
        <v>1819.6110010000002</v>
      </c>
      <c r="C48" s="425">
        <v>0</v>
      </c>
      <c r="D48" s="425">
        <v>0</v>
      </c>
      <c r="E48" s="425">
        <v>0</v>
      </c>
      <c r="F48" s="425">
        <v>18188.067524862025</v>
      </c>
      <c r="G48" s="425">
        <v>9768.6340000000018</v>
      </c>
      <c r="H48" s="426">
        <f>G48/$G$50</f>
        <v>0.29250399659150766</v>
      </c>
      <c r="I48" s="425">
        <v>830.15466204690017</v>
      </c>
      <c r="J48" s="427">
        <f>SUM(B48:B48,E50)/SUM(C48:G48)-1</f>
        <v>2.9694408112081128E-2</v>
      </c>
      <c r="L48" s="575"/>
    </row>
    <row r="49" spans="1:12" ht="13.15" thickBot="1" x14ac:dyDescent="0.4">
      <c r="A49" s="428" t="s">
        <v>47</v>
      </c>
      <c r="B49" s="429">
        <v>1886.0670000000002</v>
      </c>
      <c r="C49" s="429">
        <v>0</v>
      </c>
      <c r="D49" s="429">
        <v>0</v>
      </c>
      <c r="E49" s="429">
        <v>0</v>
      </c>
      <c r="F49" s="429">
        <v>0</v>
      </c>
      <c r="G49" s="429">
        <v>18363.153000000002</v>
      </c>
      <c r="H49" s="430">
        <f>G49/$G$50</f>
        <v>0.54985125274642632</v>
      </c>
      <c r="I49" s="429">
        <v>1714.2675490836905</v>
      </c>
      <c r="J49" s="431">
        <f>SUM(B49:B49,F50)/SUM(C49:G49)-1</f>
        <v>9.3353658088220826E-2</v>
      </c>
      <c r="L49" s="575"/>
    </row>
    <row r="50" spans="1:12" ht="13.5" thickBot="1" x14ac:dyDescent="0.4">
      <c r="A50" s="383" t="s">
        <v>4</v>
      </c>
      <c r="B50" s="432">
        <f t="shared" ref="B50:I50" si="3">SUM(B45:B49)</f>
        <v>36675.801055584423</v>
      </c>
      <c r="C50" s="432">
        <f t="shared" si="3"/>
        <v>10001.605900177652</v>
      </c>
      <c r="D50" s="432">
        <f t="shared" si="3"/>
        <v>10119.716233828383</v>
      </c>
      <c r="E50" s="432">
        <f t="shared" si="3"/>
        <v>26967.24822840892</v>
      </c>
      <c r="F50" s="432">
        <f t="shared" si="3"/>
        <v>18191.353506583691</v>
      </c>
      <c r="G50" s="432">
        <f t="shared" si="3"/>
        <v>33396.582999999999</v>
      </c>
      <c r="H50" s="433">
        <f t="shared" si="3"/>
        <v>1.0000000000000002</v>
      </c>
      <c r="I50" s="432">
        <f t="shared" si="3"/>
        <v>3279.215055584425</v>
      </c>
      <c r="J50" s="434"/>
    </row>
    <row r="52" spans="1:12" s="376" customFormat="1" ht="15" x14ac:dyDescent="0.4">
      <c r="A52" s="381" t="s">
        <v>77</v>
      </c>
      <c r="B52" s="382"/>
      <c r="C52" s="382"/>
      <c r="D52" s="382"/>
      <c r="E52" s="382"/>
      <c r="F52" s="382"/>
      <c r="G52" s="382"/>
      <c r="H52" s="382"/>
      <c r="I52" s="382"/>
      <c r="J52" s="382"/>
    </row>
    <row r="53" spans="1:12" ht="13.15" thickBot="1" x14ac:dyDescent="0.4"/>
    <row r="54" spans="1:12" ht="27.75" customHeight="1" thickBot="1" x14ac:dyDescent="0.4">
      <c r="A54" s="1"/>
      <c r="B54" s="1"/>
      <c r="C54" s="417" t="s">
        <v>38</v>
      </c>
      <c r="D54" s="418"/>
      <c r="E54" s="418"/>
      <c r="F54" s="419"/>
      <c r="G54" s="1"/>
      <c r="H54" s="1"/>
      <c r="I54" s="1"/>
      <c r="J54" s="1"/>
    </row>
    <row r="55" spans="1:12" ht="26.65" thickBot="1" x14ac:dyDescent="0.4">
      <c r="A55" s="413" t="s">
        <v>48</v>
      </c>
      <c r="B55" s="414" t="s">
        <v>104</v>
      </c>
      <c r="C55" s="415" t="s">
        <v>67</v>
      </c>
      <c r="D55" s="415" t="s">
        <v>39</v>
      </c>
      <c r="E55" s="415" t="s">
        <v>40</v>
      </c>
      <c r="F55" s="415" t="s">
        <v>41</v>
      </c>
      <c r="G55" s="414" t="s">
        <v>42</v>
      </c>
      <c r="H55" s="414" t="s">
        <v>43</v>
      </c>
      <c r="I55" s="414" t="s">
        <v>9</v>
      </c>
      <c r="J55" s="416" t="s">
        <v>44</v>
      </c>
    </row>
    <row r="56" spans="1:12" x14ac:dyDescent="0.35">
      <c r="A56" s="420" t="s">
        <v>37</v>
      </c>
      <c r="B56" s="421">
        <v>19904.489880536908</v>
      </c>
      <c r="C56" s="421">
        <v>7840.7020408690751</v>
      </c>
      <c r="D56" s="421">
        <v>5128.3031926040485</v>
      </c>
      <c r="E56" s="421">
        <v>4760.1546470637868</v>
      </c>
      <c r="F56" s="421">
        <v>0</v>
      </c>
      <c r="G56" s="421">
        <v>1953.2459999999999</v>
      </c>
      <c r="H56" s="422">
        <f>G56/$G$61</f>
        <v>6.9035003018354704E-2</v>
      </c>
      <c r="I56" s="421">
        <v>222.08399999999983</v>
      </c>
      <c r="J56" s="423">
        <f>SUM(B56:B56)/SUM(C56:G56)-1</f>
        <v>1.1283376704450898E-2</v>
      </c>
      <c r="L56" s="575"/>
    </row>
    <row r="57" spans="1:12" x14ac:dyDescent="0.35">
      <c r="A57" s="424" t="s">
        <v>36</v>
      </c>
      <c r="B57" s="425">
        <v>4285.7804254441453</v>
      </c>
      <c r="C57" s="425">
        <v>0</v>
      </c>
      <c r="D57" s="425">
        <v>3813.0129926188674</v>
      </c>
      <c r="E57" s="425">
        <v>7014.4326702662493</v>
      </c>
      <c r="F57" s="425">
        <v>0</v>
      </c>
      <c r="G57" s="425">
        <v>1137.2159999999999</v>
      </c>
      <c r="H57" s="426">
        <f>G57/$G$61</f>
        <v>4.0193457451094872E-2</v>
      </c>
      <c r="I57" s="425">
        <v>161.82080342810281</v>
      </c>
      <c r="J57" s="427">
        <f>SUM(B57:B57,C61)/SUM(C57:G57)-1</f>
        <v>1.3524895896561695E-2</v>
      </c>
      <c r="L57" s="575"/>
    </row>
    <row r="58" spans="1:12" x14ac:dyDescent="0.35">
      <c r="A58" s="424" t="s">
        <v>35</v>
      </c>
      <c r="B58" s="425">
        <v>5063.6546291402774</v>
      </c>
      <c r="C58" s="425">
        <v>0</v>
      </c>
      <c r="D58" s="425">
        <v>0</v>
      </c>
      <c r="E58" s="425">
        <v>10886.756989222764</v>
      </c>
      <c r="F58" s="425">
        <v>2.5243048211667012</v>
      </c>
      <c r="G58" s="425">
        <v>2856.6089999999999</v>
      </c>
      <c r="H58" s="426">
        <f>G58/$G$61</f>
        <v>0.10096322272630237</v>
      </c>
      <c r="I58" s="425">
        <v>259.08052031926093</v>
      </c>
      <c r="J58" s="427">
        <f>SUM(B58:B58,D61)/SUM(C58:G58)-1</f>
        <v>1.8847853051142227E-2</v>
      </c>
      <c r="L58" s="575"/>
    </row>
    <row r="59" spans="1:12" x14ac:dyDescent="0.35">
      <c r="A59" s="424" t="s">
        <v>34</v>
      </c>
      <c r="B59" s="425">
        <v>999.74500500000011</v>
      </c>
      <c r="C59" s="425">
        <v>0</v>
      </c>
      <c r="D59" s="425">
        <v>0</v>
      </c>
      <c r="E59" s="425">
        <v>0</v>
      </c>
      <c r="F59" s="425">
        <v>13862.205645629096</v>
      </c>
      <c r="G59" s="425">
        <v>9195.1380000000008</v>
      </c>
      <c r="H59" s="426">
        <f>G59/$G$61</f>
        <v>0.32499049253611073</v>
      </c>
      <c r="I59" s="425">
        <v>603.74581552370364</v>
      </c>
      <c r="J59" s="427">
        <f>SUM(B59:B59,E61)/SUM(C59:G59)-1</f>
        <v>2.6184528244135086E-2</v>
      </c>
      <c r="L59" s="575"/>
    </row>
    <row r="60" spans="1:12" ht="13.15" thickBot="1" x14ac:dyDescent="0.4">
      <c r="A60" s="428" t="s">
        <v>47</v>
      </c>
      <c r="B60" s="429">
        <v>496.17636700000003</v>
      </c>
      <c r="C60" s="429">
        <v>0</v>
      </c>
      <c r="D60" s="429">
        <v>0</v>
      </c>
      <c r="E60" s="429">
        <v>0</v>
      </c>
      <c r="F60" s="429">
        <v>0</v>
      </c>
      <c r="G60" s="429">
        <v>13151.351000000001</v>
      </c>
      <c r="H60" s="430">
        <f>G60/$G$61</f>
        <v>0.46481782426813734</v>
      </c>
      <c r="I60" s="429">
        <v>1209.555167850262</v>
      </c>
      <c r="J60" s="431">
        <f>SUM(B60:B60,F61)/SUM(C60:G60)-1</f>
        <v>9.1971943981288495E-2</v>
      </c>
      <c r="L60" s="575"/>
    </row>
    <row r="61" spans="1:12" ht="13.5" thickBot="1" x14ac:dyDescent="0.4">
      <c r="A61" s="383" t="s">
        <v>4</v>
      </c>
      <c r="B61" s="432">
        <f t="shared" ref="B61:I61" si="4">SUM(B56:B60)</f>
        <v>30749.84630712133</v>
      </c>
      <c r="C61" s="432">
        <f t="shared" si="4"/>
        <v>7840.7020408690751</v>
      </c>
      <c r="D61" s="432">
        <f t="shared" si="4"/>
        <v>8941.3161852229168</v>
      </c>
      <c r="E61" s="432">
        <f t="shared" si="4"/>
        <v>22661.344306552797</v>
      </c>
      <c r="F61" s="432">
        <f t="shared" si="4"/>
        <v>13864.729950450263</v>
      </c>
      <c r="G61" s="432">
        <f t="shared" si="4"/>
        <v>28293.56</v>
      </c>
      <c r="H61" s="433">
        <f t="shared" si="4"/>
        <v>1</v>
      </c>
      <c r="I61" s="432">
        <f t="shared" si="4"/>
        <v>2456.2863071213292</v>
      </c>
      <c r="J61" s="434"/>
    </row>
    <row r="63" spans="1:12" s="376" customFormat="1" ht="15" x14ac:dyDescent="0.4">
      <c r="A63" s="381" t="s">
        <v>78</v>
      </c>
      <c r="B63" s="382"/>
      <c r="C63" s="382"/>
      <c r="D63" s="382"/>
      <c r="E63" s="382"/>
      <c r="F63" s="382"/>
      <c r="G63" s="382"/>
      <c r="H63" s="382"/>
      <c r="I63" s="382"/>
      <c r="J63" s="382"/>
    </row>
    <row r="64" spans="1:12" ht="13.15" thickBot="1" x14ac:dyDescent="0.4"/>
    <row r="65" spans="1:12" ht="27.75" customHeight="1" thickBot="1" x14ac:dyDescent="0.4">
      <c r="A65" s="1"/>
      <c r="B65" s="1"/>
      <c r="C65" s="417" t="s">
        <v>38</v>
      </c>
      <c r="D65" s="418"/>
      <c r="E65" s="418"/>
      <c r="F65" s="419"/>
      <c r="G65" s="1"/>
      <c r="H65" s="1"/>
      <c r="I65" s="1"/>
      <c r="J65" s="1"/>
    </row>
    <row r="66" spans="1:12" ht="26.65" thickBot="1" x14ac:dyDescent="0.4">
      <c r="A66" s="413" t="s">
        <v>48</v>
      </c>
      <c r="B66" s="414" t="s">
        <v>104</v>
      </c>
      <c r="C66" s="415" t="s">
        <v>67</v>
      </c>
      <c r="D66" s="415" t="s">
        <v>39</v>
      </c>
      <c r="E66" s="415" t="s">
        <v>40</v>
      </c>
      <c r="F66" s="415" t="s">
        <v>41</v>
      </c>
      <c r="G66" s="414" t="s">
        <v>42</v>
      </c>
      <c r="H66" s="414" t="s">
        <v>43</v>
      </c>
      <c r="I66" s="414" t="s">
        <v>9</v>
      </c>
      <c r="J66" s="416" t="s">
        <v>44</v>
      </c>
    </row>
    <row r="67" spans="1:12" x14ac:dyDescent="0.35">
      <c r="A67" s="420" t="s">
        <v>37</v>
      </c>
      <c r="B67" s="421">
        <v>23401.331146505381</v>
      </c>
      <c r="C67" s="421">
        <v>9886.4419080490334</v>
      </c>
      <c r="D67" s="421">
        <v>5585.8849469398656</v>
      </c>
      <c r="E67" s="421">
        <v>5557.1622915164808</v>
      </c>
      <c r="F67" s="421">
        <v>0</v>
      </c>
      <c r="G67" s="421">
        <v>1977.296</v>
      </c>
      <c r="H67" s="422">
        <f>G67/$G$72</f>
        <v>6.7027276153173679E-2</v>
      </c>
      <c r="I67" s="421">
        <v>394.54599999999982</v>
      </c>
      <c r="J67" s="423">
        <f>SUM(B67:B67)/SUM(C67:G67)-1</f>
        <v>1.714911481493675E-2</v>
      </c>
      <c r="L67" s="575"/>
    </row>
    <row r="68" spans="1:12" x14ac:dyDescent="0.35">
      <c r="A68" s="424" t="s">
        <v>36</v>
      </c>
      <c r="B68" s="425">
        <v>5199.4080000000004</v>
      </c>
      <c r="C68" s="425">
        <v>0</v>
      </c>
      <c r="D68" s="425">
        <v>4658.4959101542327</v>
      </c>
      <c r="E68" s="425">
        <v>9155.6508943758799</v>
      </c>
      <c r="F68" s="425">
        <v>0</v>
      </c>
      <c r="G68" s="425">
        <v>1004.7959999999999</v>
      </c>
      <c r="H68" s="426">
        <f>G68/$G$72</f>
        <v>3.4061030300776562E-2</v>
      </c>
      <c r="I68" s="425">
        <v>266.90710351892062</v>
      </c>
      <c r="J68" s="427">
        <f>SUM(B68:B68,C72)/SUM(C68:G68)-1</f>
        <v>1.8011210856237803E-2</v>
      </c>
      <c r="L68" s="575"/>
    </row>
    <row r="69" spans="1:12" x14ac:dyDescent="0.35">
      <c r="A69" s="424" t="s">
        <v>35</v>
      </c>
      <c r="B69" s="425">
        <v>4965.4549999999999</v>
      </c>
      <c r="C69" s="425">
        <v>0</v>
      </c>
      <c r="D69" s="425">
        <v>0</v>
      </c>
      <c r="E69" s="425">
        <v>12661.036022119106</v>
      </c>
      <c r="F69" s="425">
        <v>2.7964733856529334</v>
      </c>
      <c r="G69" s="425">
        <v>2168.163</v>
      </c>
      <c r="H69" s="426">
        <f>G69/$G$72</f>
        <v>7.3497372242746412E-2</v>
      </c>
      <c r="I69" s="425">
        <v>377.8403615893435</v>
      </c>
      <c r="J69" s="427">
        <f>SUM(B69:B69,D72)/SUM(C69:G69)-1</f>
        <v>2.547468152237875E-2</v>
      </c>
      <c r="L69" s="575"/>
    </row>
    <row r="70" spans="1:12" x14ac:dyDescent="0.35">
      <c r="A70" s="424" t="s">
        <v>34</v>
      </c>
      <c r="B70" s="425">
        <v>507.84799900000002</v>
      </c>
      <c r="C70" s="425">
        <v>0</v>
      </c>
      <c r="D70" s="425">
        <v>0</v>
      </c>
      <c r="E70" s="425">
        <v>0</v>
      </c>
      <c r="F70" s="425">
        <v>20422.629109111367</v>
      </c>
      <c r="G70" s="425">
        <v>6419.5030000000006</v>
      </c>
      <c r="H70" s="426">
        <f>G70/$G$72</f>
        <v>0.2176112227744996</v>
      </c>
      <c r="I70" s="425">
        <v>1039.5654405000951</v>
      </c>
      <c r="J70" s="427">
        <f>SUM(B70:B70,E72)/SUM(C70:G70)-1</f>
        <v>3.8728857069711964E-2</v>
      </c>
      <c r="L70" s="575"/>
    </row>
    <row r="71" spans="1:12" ht="13.15" thickBot="1" x14ac:dyDescent="0.4">
      <c r="A71" s="428" t="s">
        <v>47</v>
      </c>
      <c r="B71" s="429">
        <v>-3.1370000000000031</v>
      </c>
      <c r="C71" s="429">
        <v>0</v>
      </c>
      <c r="D71" s="429">
        <v>0</v>
      </c>
      <c r="E71" s="429">
        <v>0</v>
      </c>
      <c r="F71" s="429">
        <v>0</v>
      </c>
      <c r="G71" s="429">
        <v>17930.113000000001</v>
      </c>
      <c r="H71" s="430">
        <f>G71/$G$72</f>
        <v>0.60780309852880376</v>
      </c>
      <c r="I71" s="429">
        <v>2492.1752398970207</v>
      </c>
      <c r="J71" s="431">
        <f>SUM(B71:B71,F72)/SUM(C71:G71)-1</f>
        <v>0.13899385812554677</v>
      </c>
      <c r="L71" s="575"/>
    </row>
    <row r="72" spans="1:12" ht="13.5" thickBot="1" x14ac:dyDescent="0.4">
      <c r="A72" s="383" t="s">
        <v>4</v>
      </c>
      <c r="B72" s="432">
        <f t="shared" ref="B72:I72" si="5">SUM(B67:B71)</f>
        <v>34070.905145505378</v>
      </c>
      <c r="C72" s="432">
        <f t="shared" si="5"/>
        <v>9886.4419080490334</v>
      </c>
      <c r="D72" s="432">
        <f t="shared" si="5"/>
        <v>10244.380857094098</v>
      </c>
      <c r="E72" s="432">
        <f t="shared" si="5"/>
        <v>27373.849208011467</v>
      </c>
      <c r="F72" s="432">
        <f t="shared" si="5"/>
        <v>20425.425582497021</v>
      </c>
      <c r="G72" s="432">
        <f t="shared" si="5"/>
        <v>29499.871000000003</v>
      </c>
      <c r="H72" s="433">
        <f t="shared" si="5"/>
        <v>1</v>
      </c>
      <c r="I72" s="432">
        <f t="shared" si="5"/>
        <v>4571.0341455053804</v>
      </c>
      <c r="J72" s="434"/>
    </row>
  </sheetData>
  <pageMargins left="0.7" right="0.7" top="0.75" bottom="0.75" header="0.3" footer="0.3"/>
  <pageSetup paperSize="9" scale="62" orientation="portrait" verticalDpi="0" r:id="rId1"/>
  <headerFooter>
    <oddFooter>&amp;C_x000D_&amp;1#&amp;"Calibri"&amp;10&amp;K000000 INTERNA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C92-1EAB-4631-AC16-595B99C3A7B4}">
  <sheetPr>
    <pageSetUpPr fitToPage="1"/>
  </sheetPr>
  <dimension ref="A1:L72"/>
  <sheetViews>
    <sheetView showGridLines="0" workbookViewId="0"/>
  </sheetViews>
  <sheetFormatPr baseColWidth="10" defaultRowHeight="12.75" x14ac:dyDescent="0.35"/>
  <cols>
    <col min="1" max="1" width="21.3984375" customWidth="1"/>
    <col min="11" max="11" width="2.73046875" customWidth="1"/>
  </cols>
  <sheetData>
    <row r="1" spans="1:12" x14ac:dyDescent="0.35">
      <c r="L1" s="1"/>
    </row>
    <row r="2" spans="1:12" x14ac:dyDescent="0.35">
      <c r="L2" s="1"/>
    </row>
    <row r="3" spans="1:12" x14ac:dyDescent="0.35">
      <c r="L3" s="1"/>
    </row>
    <row r="4" spans="1:12" x14ac:dyDescent="0.35">
      <c r="L4" s="1"/>
    </row>
    <row r="5" spans="1:12" x14ac:dyDescent="0.35">
      <c r="L5" s="1"/>
    </row>
    <row r="6" spans="1:12" s="4" customFormat="1" ht="30" customHeight="1" x14ac:dyDescent="0.35">
      <c r="A6" s="534" t="s">
        <v>225</v>
      </c>
      <c r="B6" s="365"/>
    </row>
    <row r="7" spans="1:12" ht="5.25" customHeight="1" x14ac:dyDescent="0.35"/>
    <row r="8" spans="1:12" s="376" customFormat="1" ht="15" x14ac:dyDescent="0.4">
      <c r="A8" s="381" t="s">
        <v>45</v>
      </c>
      <c r="B8" s="382"/>
      <c r="C8" s="382"/>
      <c r="D8" s="382"/>
      <c r="E8" s="382"/>
      <c r="F8" s="382"/>
      <c r="G8" s="382"/>
      <c r="H8" s="382"/>
      <c r="I8" s="382"/>
      <c r="J8" s="382"/>
    </row>
    <row r="9" spans="1:12" ht="13.15" thickBot="1" x14ac:dyDescent="0.4"/>
    <row r="10" spans="1:12" ht="27.75" customHeight="1" thickBot="1" x14ac:dyDescent="0.4">
      <c r="A10" s="1"/>
      <c r="B10" s="1"/>
      <c r="C10" s="417" t="s">
        <v>38</v>
      </c>
      <c r="D10" s="418"/>
      <c r="E10" s="418"/>
      <c r="F10" s="419"/>
      <c r="G10" s="1"/>
      <c r="H10" s="1"/>
      <c r="I10" s="1"/>
      <c r="J10" s="1"/>
    </row>
    <row r="11" spans="1:12" ht="26.65" thickBot="1" x14ac:dyDescent="0.4">
      <c r="A11" s="413" t="s">
        <v>48</v>
      </c>
      <c r="B11" s="414" t="s">
        <v>104</v>
      </c>
      <c r="C11" s="415" t="s">
        <v>67</v>
      </c>
      <c r="D11" s="415" t="s">
        <v>39</v>
      </c>
      <c r="E11" s="415" t="s">
        <v>40</v>
      </c>
      <c r="F11" s="415" t="s">
        <v>41</v>
      </c>
      <c r="G11" s="414" t="s">
        <v>42</v>
      </c>
      <c r="H11" s="414" t="s">
        <v>43</v>
      </c>
      <c r="I11" s="414" t="s">
        <v>9</v>
      </c>
      <c r="J11" s="416" t="s">
        <v>44</v>
      </c>
    </row>
    <row r="12" spans="1:12" x14ac:dyDescent="0.35">
      <c r="A12" s="420" t="s">
        <v>37</v>
      </c>
      <c r="B12" s="421">
        <v>16592562.439035721</v>
      </c>
      <c r="C12" s="421">
        <v>6973949.7210453264</v>
      </c>
      <c r="D12" s="421">
        <v>4250101.6531938082</v>
      </c>
      <c r="E12" s="421">
        <v>3956195.760796587</v>
      </c>
      <c r="F12" s="421">
        <v>0</v>
      </c>
      <c r="G12" s="421">
        <v>1242981.9839999997</v>
      </c>
      <c r="H12" s="422">
        <f>G12/$G$17</f>
        <v>5.5969342965557486E-2</v>
      </c>
      <c r="I12" s="421">
        <v>169333.31999999905</v>
      </c>
      <c r="J12" s="423">
        <f>SUM(B12:B12)/SUM(C12:G12)-1</f>
        <v>1.0310598407454963E-2</v>
      </c>
      <c r="L12" s="575"/>
    </row>
    <row r="13" spans="1:12" x14ac:dyDescent="0.35">
      <c r="A13" s="424" t="s">
        <v>36</v>
      </c>
      <c r="B13" s="425">
        <v>3104138.9804461473</v>
      </c>
      <c r="C13" s="425">
        <v>0</v>
      </c>
      <c r="D13" s="425">
        <v>2937383.4513460449</v>
      </c>
      <c r="E13" s="425">
        <v>6248729.1836032495</v>
      </c>
      <c r="F13" s="425">
        <v>0</v>
      </c>
      <c r="G13" s="425">
        <v>752782.41399999987</v>
      </c>
      <c r="H13" s="426">
        <f>G13/$G$17</f>
        <v>3.389649862182257E-2</v>
      </c>
      <c r="I13" s="425">
        <v>139193.65254217974</v>
      </c>
      <c r="J13" s="427">
        <f>SUM(B13:B13,C17)/SUM(C13:G13)-1</f>
        <v>1.4004942386115049E-2</v>
      </c>
      <c r="L13" s="575"/>
    </row>
    <row r="14" spans="1:12" x14ac:dyDescent="0.35">
      <c r="A14" s="424" t="s">
        <v>35</v>
      </c>
      <c r="B14" s="425">
        <v>3381725.5163874999</v>
      </c>
      <c r="C14" s="425">
        <v>0</v>
      </c>
      <c r="D14" s="425">
        <v>0</v>
      </c>
      <c r="E14" s="425">
        <v>8431424.7872259617</v>
      </c>
      <c r="F14" s="425">
        <v>1975.1944588807648</v>
      </c>
      <c r="G14" s="425">
        <v>1936686.6910000001</v>
      </c>
      <c r="H14" s="426">
        <f>G14/$G$17</f>
        <v>8.7205673952398727E-2</v>
      </c>
      <c r="I14" s="425">
        <v>199123.94824251015</v>
      </c>
      <c r="J14" s="427">
        <f>SUM(B14:B14,D17)/SUM(C14:G14)-1</f>
        <v>1.9201763160476615E-2</v>
      </c>
      <c r="L14" s="575"/>
    </row>
    <row r="15" spans="1:12" x14ac:dyDescent="0.35">
      <c r="A15" s="424" t="s">
        <v>34</v>
      </c>
      <c r="B15" s="425">
        <v>943876.19393399975</v>
      </c>
      <c r="C15" s="425">
        <v>0</v>
      </c>
      <c r="D15" s="425">
        <v>0</v>
      </c>
      <c r="E15" s="425">
        <v>0</v>
      </c>
      <c r="F15" s="425">
        <v>12434169.297045201</v>
      </c>
      <c r="G15" s="425">
        <v>6556038.6969999988</v>
      </c>
      <c r="H15" s="426">
        <f>G15/$G$17</f>
        <v>0.29520715750604126</v>
      </c>
      <c r="I15" s="425">
        <v>590017.93151459529</v>
      </c>
      <c r="J15" s="427">
        <f>SUM(B15:B15,E17)/SUM(C15:G15)-1</f>
        <v>3.1069587636934459E-2</v>
      </c>
      <c r="L15" s="575"/>
    </row>
    <row r="16" spans="1:12" ht="13.15" thickBot="1" x14ac:dyDescent="0.4">
      <c r="A16" s="428" t="s">
        <v>47</v>
      </c>
      <c r="B16" s="429">
        <v>522585.41426699993</v>
      </c>
      <c r="C16" s="429">
        <v>0</v>
      </c>
      <c r="D16" s="429">
        <v>0</v>
      </c>
      <c r="E16" s="429">
        <v>0</v>
      </c>
      <c r="F16" s="429">
        <v>0</v>
      </c>
      <c r="G16" s="429">
        <v>11719774.92</v>
      </c>
      <c r="H16" s="430">
        <f>G16/$G$17</f>
        <v>0.52772132695417995</v>
      </c>
      <c r="I16" s="429">
        <v>1238954.9857710847</v>
      </c>
      <c r="J16" s="431">
        <f>SUM(B16:B16,F17)/SUM(C16:G16)-1</f>
        <v>0.10571491297642455</v>
      </c>
      <c r="L16" s="575"/>
    </row>
    <row r="17" spans="1:12" ht="13.5" thickBot="1" x14ac:dyDescent="0.4">
      <c r="A17" s="383" t="s">
        <v>4</v>
      </c>
      <c r="B17" s="432">
        <f t="shared" ref="B17:I17" si="0">SUM(B12:B16)</f>
        <v>24544888.54407037</v>
      </c>
      <c r="C17" s="432">
        <f t="shared" si="0"/>
        <v>6973949.7210453264</v>
      </c>
      <c r="D17" s="432">
        <f t="shared" si="0"/>
        <v>7187485.1045398526</v>
      </c>
      <c r="E17" s="432">
        <f t="shared" si="0"/>
        <v>18636349.731625799</v>
      </c>
      <c r="F17" s="432">
        <f t="shared" si="0"/>
        <v>12436144.491504082</v>
      </c>
      <c r="G17" s="432">
        <f t="shared" si="0"/>
        <v>22208264.706</v>
      </c>
      <c r="H17" s="433">
        <f>SUM(H12:H16)</f>
        <v>1</v>
      </c>
      <c r="I17" s="432">
        <f t="shared" si="0"/>
        <v>2336623.8380703689</v>
      </c>
      <c r="J17" s="434"/>
    </row>
    <row r="19" spans="1:12" s="376" customFormat="1" ht="15" x14ac:dyDescent="0.4">
      <c r="A19" s="381" t="s">
        <v>68</v>
      </c>
      <c r="B19" s="382"/>
      <c r="C19" s="382"/>
      <c r="D19" s="382"/>
      <c r="E19" s="382"/>
      <c r="F19" s="382"/>
      <c r="G19" s="382"/>
      <c r="H19" s="382"/>
      <c r="I19" s="382"/>
      <c r="J19" s="382"/>
    </row>
    <row r="20" spans="1:12" ht="13.15" thickBot="1" x14ac:dyDescent="0.4"/>
    <row r="21" spans="1:12" ht="27.75" customHeight="1" thickBot="1" x14ac:dyDescent="0.4">
      <c r="A21" s="1"/>
      <c r="B21" s="1"/>
      <c r="C21" s="417" t="s">
        <v>38</v>
      </c>
      <c r="D21" s="418"/>
      <c r="E21" s="418"/>
      <c r="F21" s="419"/>
      <c r="G21" s="1"/>
      <c r="H21" s="1"/>
      <c r="I21" s="1"/>
      <c r="J21" s="1"/>
    </row>
    <row r="22" spans="1:12" ht="26.65" thickBot="1" x14ac:dyDescent="0.4">
      <c r="A22" s="413" t="s">
        <v>48</v>
      </c>
      <c r="B22" s="414" t="s">
        <v>104</v>
      </c>
      <c r="C22" s="415" t="s">
        <v>67</v>
      </c>
      <c r="D22" s="415" t="s">
        <v>39</v>
      </c>
      <c r="E22" s="415" t="s">
        <v>40</v>
      </c>
      <c r="F22" s="415" t="s">
        <v>41</v>
      </c>
      <c r="G22" s="414" t="s">
        <v>42</v>
      </c>
      <c r="H22" s="414" t="s">
        <v>43</v>
      </c>
      <c r="I22" s="414" t="s">
        <v>9</v>
      </c>
      <c r="J22" s="416" t="s">
        <v>44</v>
      </c>
    </row>
    <row r="23" spans="1:12" x14ac:dyDescent="0.35">
      <c r="A23" s="420" t="s">
        <v>37</v>
      </c>
      <c r="B23" s="421">
        <v>19857455.795958348</v>
      </c>
      <c r="C23" s="421">
        <v>8140647.6132798428</v>
      </c>
      <c r="D23" s="421">
        <v>5048119.4454876557</v>
      </c>
      <c r="E23" s="421">
        <v>4739298.3301908504</v>
      </c>
      <c r="F23" s="421">
        <v>0</v>
      </c>
      <c r="G23" s="421">
        <v>1712989.879</v>
      </c>
      <c r="H23" s="422">
        <f>G23/$G$28</f>
        <v>6.2755117598606705E-2</v>
      </c>
      <c r="I23" s="421">
        <v>216400.52800000072</v>
      </c>
      <c r="J23" s="423">
        <f>SUM(B23:B23)/SUM(C23:G23)-1</f>
        <v>1.1017764832270682E-2</v>
      </c>
      <c r="L23" s="575"/>
    </row>
    <row r="24" spans="1:12" x14ac:dyDescent="0.35">
      <c r="A24" s="424" t="s">
        <v>36</v>
      </c>
      <c r="B24" s="425">
        <v>4118777.0339622619</v>
      </c>
      <c r="C24" s="425">
        <v>0</v>
      </c>
      <c r="D24" s="425">
        <v>3614139.1778918253</v>
      </c>
      <c r="E24" s="425">
        <v>7449070.6891130414</v>
      </c>
      <c r="F24" s="425">
        <v>0</v>
      </c>
      <c r="G24" s="425">
        <v>1022894.672</v>
      </c>
      <c r="H24" s="426">
        <f>G24/$G$28</f>
        <v>3.7473587100130337E-2</v>
      </c>
      <c r="I24" s="425">
        <v>173320.10823723796</v>
      </c>
      <c r="J24" s="427">
        <f>SUM(B24:B24,C28)/SUM(C24:G24)-1</f>
        <v>1.4340444241392136E-2</v>
      </c>
      <c r="L24" s="575"/>
    </row>
    <row r="25" spans="1:12" x14ac:dyDescent="0.35">
      <c r="A25" s="424" t="s">
        <v>35</v>
      </c>
      <c r="B25" s="425">
        <v>4261861.5927513894</v>
      </c>
      <c r="C25" s="425">
        <v>0</v>
      </c>
      <c r="D25" s="425">
        <v>0</v>
      </c>
      <c r="E25" s="425">
        <v>10103690.054031268</v>
      </c>
      <c r="F25" s="425">
        <v>2353.6599111735536</v>
      </c>
      <c r="G25" s="425">
        <v>2571793.4739999999</v>
      </c>
      <c r="H25" s="426">
        <f>G25/$G$28</f>
        <v>9.4217253632821532E-2</v>
      </c>
      <c r="I25" s="425">
        <v>246283.0281884303</v>
      </c>
      <c r="J25" s="427">
        <f>SUM(B25:B25,D28)/SUM(C25:G25)-1</f>
        <v>1.9426265264130382E-2</v>
      </c>
      <c r="L25" s="575"/>
    </row>
    <row r="26" spans="1:12" x14ac:dyDescent="0.35">
      <c r="A26" s="424" t="s">
        <v>34</v>
      </c>
      <c r="B26" s="425">
        <v>1222497.7950690007</v>
      </c>
      <c r="C26" s="425">
        <v>0</v>
      </c>
      <c r="D26" s="425">
        <v>0</v>
      </c>
      <c r="E26" s="425">
        <v>0</v>
      </c>
      <c r="F26" s="425">
        <v>14678921.339238476</v>
      </c>
      <c r="G26" s="425">
        <v>8133343.2250000006</v>
      </c>
      <c r="H26" s="426">
        <f>G26/$G$28</f>
        <v>0.29796376313248846</v>
      </c>
      <c r="I26" s="425">
        <v>702292.30416568369</v>
      </c>
      <c r="J26" s="427">
        <f>SUM(B26:B26,E28)/SUM(C26:G26)-1</f>
        <v>3.0785733796311776E-2</v>
      </c>
      <c r="L26" s="575"/>
    </row>
    <row r="27" spans="1:12" ht="13.15" thickBot="1" x14ac:dyDescent="0.4">
      <c r="A27" s="428" t="s">
        <v>47</v>
      </c>
      <c r="B27" s="429">
        <v>688566.82478099992</v>
      </c>
      <c r="C27" s="429">
        <v>0</v>
      </c>
      <c r="D27" s="429">
        <v>0</v>
      </c>
      <c r="E27" s="429">
        <v>0</v>
      </c>
      <c r="F27" s="429">
        <v>0</v>
      </c>
      <c r="G27" s="429">
        <v>13855396.071000002</v>
      </c>
      <c r="H27" s="430">
        <f>G27/$G$28</f>
        <v>0.50759027853595295</v>
      </c>
      <c r="I27" s="429">
        <v>1514445.7529306472</v>
      </c>
      <c r="J27" s="431">
        <f>SUM(B27:B27,F28)/SUM(C27:G27)-1</f>
        <v>0.10930367816048614</v>
      </c>
      <c r="L27" s="575"/>
    </row>
    <row r="28" spans="1:12" ht="13.5" thickBot="1" x14ac:dyDescent="0.4">
      <c r="A28" s="383" t="s">
        <v>4</v>
      </c>
      <c r="B28" s="432">
        <f t="shared" ref="B28:I28" si="1">SUM(B23:B27)</f>
        <v>30149159.042521998</v>
      </c>
      <c r="C28" s="432">
        <f t="shared" si="1"/>
        <v>8140647.6132798428</v>
      </c>
      <c r="D28" s="432">
        <f t="shared" si="1"/>
        <v>8662258.6233794801</v>
      </c>
      <c r="E28" s="432">
        <f t="shared" si="1"/>
        <v>22292059.07333516</v>
      </c>
      <c r="F28" s="432">
        <f t="shared" si="1"/>
        <v>14681274.99914965</v>
      </c>
      <c r="G28" s="432">
        <f t="shared" si="1"/>
        <v>27296417.321000002</v>
      </c>
      <c r="H28" s="433">
        <f t="shared" si="1"/>
        <v>1</v>
      </c>
      <c r="I28" s="432">
        <f t="shared" si="1"/>
        <v>2852741.7215219997</v>
      </c>
      <c r="J28" s="434"/>
    </row>
    <row r="30" spans="1:12" s="376" customFormat="1" ht="15" x14ac:dyDescent="0.4">
      <c r="A30" s="381" t="s">
        <v>69</v>
      </c>
      <c r="B30" s="382"/>
      <c r="C30" s="382"/>
      <c r="D30" s="382"/>
      <c r="E30" s="382"/>
      <c r="F30" s="382"/>
      <c r="G30" s="382"/>
      <c r="H30" s="382"/>
      <c r="I30" s="382"/>
      <c r="J30" s="382"/>
    </row>
    <row r="31" spans="1:12" ht="13.15" thickBot="1" x14ac:dyDescent="0.4"/>
    <row r="32" spans="1:12" ht="27.75" customHeight="1" thickBot="1" x14ac:dyDescent="0.4">
      <c r="A32" s="1"/>
      <c r="B32" s="1"/>
      <c r="C32" s="417" t="s">
        <v>38</v>
      </c>
      <c r="D32" s="418"/>
      <c r="E32" s="418"/>
      <c r="F32" s="419"/>
      <c r="G32" s="1"/>
      <c r="H32" s="1"/>
      <c r="I32" s="1"/>
      <c r="J32" s="1"/>
    </row>
    <row r="33" spans="1:12" ht="26.65" thickBot="1" x14ac:dyDescent="0.4">
      <c r="A33" s="413" t="s">
        <v>48</v>
      </c>
      <c r="B33" s="414" t="s">
        <v>104</v>
      </c>
      <c r="C33" s="415" t="s">
        <v>67</v>
      </c>
      <c r="D33" s="415" t="s">
        <v>39</v>
      </c>
      <c r="E33" s="415" t="s">
        <v>40</v>
      </c>
      <c r="F33" s="415" t="s">
        <v>41</v>
      </c>
      <c r="G33" s="414" t="s">
        <v>42</v>
      </c>
      <c r="H33" s="414" t="s">
        <v>43</v>
      </c>
      <c r="I33" s="414" t="s">
        <v>9</v>
      </c>
      <c r="J33" s="416" t="s">
        <v>44</v>
      </c>
    </row>
    <row r="34" spans="1:12" x14ac:dyDescent="0.35">
      <c r="A34" s="420" t="s">
        <v>37</v>
      </c>
      <c r="B34" s="421">
        <v>17616767.697683342</v>
      </c>
      <c r="C34" s="421">
        <v>7207555.2195051741</v>
      </c>
      <c r="D34" s="421">
        <v>4402921.8543400206</v>
      </c>
      <c r="E34" s="421">
        <v>4135193.2888381518</v>
      </c>
      <c r="F34" s="421">
        <v>0</v>
      </c>
      <c r="G34" s="421">
        <v>1698842.888</v>
      </c>
      <c r="H34" s="422">
        <f>G34/$G$39</f>
        <v>6.9056741589219206E-2</v>
      </c>
      <c r="I34" s="421">
        <v>172254.44699999876</v>
      </c>
      <c r="J34" s="423">
        <f>SUM(B34:B34)/SUM(C34:G34)-1</f>
        <v>9.8744197974827141E-3</v>
      </c>
      <c r="L34" s="575"/>
    </row>
    <row r="35" spans="1:12" x14ac:dyDescent="0.35">
      <c r="A35" s="424" t="s">
        <v>36</v>
      </c>
      <c r="B35" s="425">
        <v>3441211.6301791798</v>
      </c>
      <c r="C35" s="425">
        <v>0</v>
      </c>
      <c r="D35" s="425">
        <v>3115339.4434395456</v>
      </c>
      <c r="E35" s="425">
        <v>6400743.6537862327</v>
      </c>
      <c r="F35" s="425">
        <v>0</v>
      </c>
      <c r="G35" s="425">
        <v>987345.82299999997</v>
      </c>
      <c r="H35" s="426">
        <f>G35/$G$39</f>
        <v>4.0134897605731953E-2</v>
      </c>
      <c r="I35" s="425">
        <v>145337.92945857532</v>
      </c>
      <c r="J35" s="427">
        <f>SUM(B35:B35,C39)/SUM(C35:G35)-1</f>
        <v>1.3837188842084513E-2</v>
      </c>
      <c r="L35" s="575"/>
    </row>
    <row r="36" spans="1:12" x14ac:dyDescent="0.35">
      <c r="A36" s="424" t="s">
        <v>35</v>
      </c>
      <c r="B36" s="425">
        <v>3708753.688745833</v>
      </c>
      <c r="C36" s="425">
        <v>0</v>
      </c>
      <c r="D36" s="425">
        <v>0</v>
      </c>
      <c r="E36" s="425">
        <v>8635572.5000172313</v>
      </c>
      <c r="F36" s="425">
        <v>2090.3378409553211</v>
      </c>
      <c r="G36" s="425">
        <v>2382435.0450000004</v>
      </c>
      <c r="H36" s="426">
        <f>G36/$G$39</f>
        <v>9.6844271131719187E-2</v>
      </c>
      <c r="I36" s="425">
        <v>206917.10366720907</v>
      </c>
      <c r="J36" s="427">
        <f>SUM(B36:B36,D39)/SUM(C36:G36)-1</f>
        <v>1.8776339907930595E-2</v>
      </c>
      <c r="L36" s="575"/>
    </row>
    <row r="37" spans="1:12" x14ac:dyDescent="0.35">
      <c r="A37" s="424" t="s">
        <v>34</v>
      </c>
      <c r="B37" s="425">
        <v>1176610.6169520002</v>
      </c>
      <c r="C37" s="425">
        <v>0</v>
      </c>
      <c r="D37" s="425">
        <v>0</v>
      </c>
      <c r="E37" s="425">
        <v>0</v>
      </c>
      <c r="F37" s="425">
        <v>12007332.630568247</v>
      </c>
      <c r="G37" s="425">
        <v>7815690.7199999997</v>
      </c>
      <c r="H37" s="426">
        <f>G37/$G$39</f>
        <v>0.31770220672242561</v>
      </c>
      <c r="I37" s="425">
        <v>525096.70902536856</v>
      </c>
      <c r="J37" s="427">
        <f>SUM(B37:B37,E39)/SUM(C37:G37)-1</f>
        <v>2.6489234247424776E-2</v>
      </c>
      <c r="L37" s="575"/>
    </row>
    <row r="38" spans="1:12" ht="13.15" thickBot="1" x14ac:dyDescent="0.4">
      <c r="A38" s="428" t="s">
        <v>47</v>
      </c>
      <c r="B38" s="429">
        <v>801442.20755999978</v>
      </c>
      <c r="C38" s="429">
        <v>0</v>
      </c>
      <c r="D38" s="429">
        <v>0</v>
      </c>
      <c r="E38" s="429">
        <v>0</v>
      </c>
      <c r="F38" s="429">
        <v>0</v>
      </c>
      <c r="G38" s="429">
        <v>11716366.774</v>
      </c>
      <c r="H38" s="430">
        <f>G38/$G$39</f>
        <v>0.47626188295090405</v>
      </c>
      <c r="I38" s="429">
        <v>1094498.4019692023</v>
      </c>
      <c r="J38" s="431">
        <f>SUM(B38:B38,F39)/SUM(C38:G38)-1</f>
        <v>9.3416194890554527E-2</v>
      </c>
      <c r="L38" s="575"/>
    </row>
    <row r="39" spans="1:12" ht="13.5" thickBot="1" x14ac:dyDescent="0.4">
      <c r="A39" s="383" t="s">
        <v>4</v>
      </c>
      <c r="B39" s="432">
        <f t="shared" ref="B39:I39" si="2">SUM(B34:B38)</f>
        <v>26744785.841120359</v>
      </c>
      <c r="C39" s="432">
        <f t="shared" si="2"/>
        <v>7207555.2195051741</v>
      </c>
      <c r="D39" s="432">
        <f t="shared" si="2"/>
        <v>7518261.2977795657</v>
      </c>
      <c r="E39" s="432">
        <f t="shared" si="2"/>
        <v>19171509.442641616</v>
      </c>
      <c r="F39" s="432">
        <f t="shared" si="2"/>
        <v>12009422.968409203</v>
      </c>
      <c r="G39" s="432">
        <f t="shared" si="2"/>
        <v>24600681.25</v>
      </c>
      <c r="H39" s="433">
        <f t="shared" si="2"/>
        <v>1</v>
      </c>
      <c r="I39" s="432">
        <f t="shared" si="2"/>
        <v>2144104.5911203539</v>
      </c>
      <c r="J39" s="434"/>
    </row>
    <row r="41" spans="1:12" s="376" customFormat="1" ht="15" x14ac:dyDescent="0.4">
      <c r="A41" s="381" t="s">
        <v>70</v>
      </c>
      <c r="B41" s="382"/>
      <c r="C41" s="382"/>
      <c r="D41" s="382"/>
      <c r="E41" s="382"/>
      <c r="F41" s="382"/>
      <c r="G41" s="382"/>
      <c r="H41" s="382"/>
      <c r="I41" s="382"/>
      <c r="J41" s="382"/>
    </row>
    <row r="42" spans="1:12" ht="13.15" thickBot="1" x14ac:dyDescent="0.4"/>
    <row r="43" spans="1:12" ht="27.75" customHeight="1" thickBot="1" x14ac:dyDescent="0.4">
      <c r="A43" s="1"/>
      <c r="B43" s="1"/>
      <c r="C43" s="417" t="s">
        <v>38</v>
      </c>
      <c r="D43" s="418"/>
      <c r="E43" s="418"/>
      <c r="F43" s="419"/>
      <c r="G43" s="1"/>
      <c r="H43" s="1"/>
      <c r="I43" s="1"/>
      <c r="J43" s="1"/>
    </row>
    <row r="44" spans="1:12" ht="26.65" thickBot="1" x14ac:dyDescent="0.4">
      <c r="A44" s="413" t="s">
        <v>48</v>
      </c>
      <c r="B44" s="414" t="s">
        <v>104</v>
      </c>
      <c r="C44" s="415" t="s">
        <v>67</v>
      </c>
      <c r="D44" s="415" t="s">
        <v>39</v>
      </c>
      <c r="E44" s="415" t="s">
        <v>40</v>
      </c>
      <c r="F44" s="415" t="s">
        <v>41</v>
      </c>
      <c r="G44" s="414" t="s">
        <v>42</v>
      </c>
      <c r="H44" s="414" t="s">
        <v>43</v>
      </c>
      <c r="I44" s="414" t="s">
        <v>9</v>
      </c>
      <c r="J44" s="416" t="s">
        <v>44</v>
      </c>
    </row>
    <row r="45" spans="1:12" x14ac:dyDescent="0.35">
      <c r="A45" s="420" t="s">
        <v>37</v>
      </c>
      <c r="B45" s="421">
        <v>19160829.628028542</v>
      </c>
      <c r="C45" s="421">
        <v>7794677.1134714335</v>
      </c>
      <c r="D45" s="421">
        <v>4729212.4247891158</v>
      </c>
      <c r="E45" s="421">
        <v>4483478.1497679958</v>
      </c>
      <c r="F45" s="421">
        <v>0</v>
      </c>
      <c r="G45" s="421">
        <v>1953193.3639999998</v>
      </c>
      <c r="H45" s="422">
        <f>G45/$G$50</f>
        <v>7.1614770088453378E-2</v>
      </c>
      <c r="I45" s="421">
        <v>200268.57599999628</v>
      </c>
      <c r="J45" s="423">
        <f>SUM(B45:B45)/SUM(C45:G45)-1</f>
        <v>1.0562376052610123E-2</v>
      </c>
      <c r="L45" s="575"/>
    </row>
    <row r="46" spans="1:12" x14ac:dyDescent="0.35">
      <c r="A46" s="424" t="s">
        <v>36</v>
      </c>
      <c r="B46" s="425">
        <v>3751073.5961543052</v>
      </c>
      <c r="C46" s="425">
        <v>0</v>
      </c>
      <c r="D46" s="425">
        <v>3364026.0829046024</v>
      </c>
      <c r="E46" s="425">
        <v>6900489.7119643148</v>
      </c>
      <c r="F46" s="425">
        <v>0</v>
      </c>
      <c r="G46" s="425">
        <v>1136701.3740000001</v>
      </c>
      <c r="H46" s="426">
        <f>G46/$G$50</f>
        <v>4.1677700251616809E-2</v>
      </c>
      <c r="I46" s="425">
        <v>144533.54075682143</v>
      </c>
      <c r="J46" s="427">
        <f>SUM(B46:B46,C50)/SUM(C46:G46)-1</f>
        <v>1.2677027252096629E-2</v>
      </c>
      <c r="L46" s="575"/>
    </row>
    <row r="47" spans="1:12" x14ac:dyDescent="0.35">
      <c r="A47" s="424" t="s">
        <v>35</v>
      </c>
      <c r="B47" s="425">
        <v>4246810.4641965013</v>
      </c>
      <c r="C47" s="425">
        <v>0</v>
      </c>
      <c r="D47" s="425">
        <v>0</v>
      </c>
      <c r="E47" s="425">
        <v>9418672.0647995695</v>
      </c>
      <c r="F47" s="425">
        <v>2288.9932237067337</v>
      </c>
      <c r="G47" s="425">
        <v>2712482.5279999995</v>
      </c>
      <c r="H47" s="426">
        <f>G47/$G$50</f>
        <v>9.9454470915183182E-2</v>
      </c>
      <c r="I47" s="425">
        <v>206605.38586694578</v>
      </c>
      <c r="J47" s="427">
        <f>SUM(B47:B47,D50)/SUM(C47:G47)-1</f>
        <v>1.7027761690418641E-2</v>
      </c>
      <c r="L47" s="575"/>
    </row>
    <row r="48" spans="1:12" x14ac:dyDescent="0.35">
      <c r="A48" s="424" t="s">
        <v>34</v>
      </c>
      <c r="B48" s="425">
        <v>1367657.075998001</v>
      </c>
      <c r="C48" s="425">
        <v>0</v>
      </c>
      <c r="D48" s="425">
        <v>0</v>
      </c>
      <c r="E48" s="425">
        <v>0</v>
      </c>
      <c r="F48" s="425">
        <v>12925248.71375967</v>
      </c>
      <c r="G48" s="425">
        <v>8682232.0830000006</v>
      </c>
      <c r="H48" s="426">
        <f>G48/$G$50</f>
        <v>0.31833819730233265</v>
      </c>
      <c r="I48" s="425">
        <v>562816.20577021118</v>
      </c>
      <c r="J48" s="427">
        <f>SUM(B48:B48,E50)/SUM(C48:G48)-1</f>
        <v>2.6047284783639046E-2</v>
      </c>
      <c r="L48" s="575"/>
    </row>
    <row r="49" spans="1:12" ht="13.15" thickBot="1" x14ac:dyDescent="0.4">
      <c r="A49" s="428" t="s">
        <v>47</v>
      </c>
      <c r="B49" s="429">
        <v>1007213.7837490003</v>
      </c>
      <c r="C49" s="429">
        <v>0</v>
      </c>
      <c r="D49" s="429">
        <v>0</v>
      </c>
      <c r="E49" s="429">
        <v>0</v>
      </c>
      <c r="F49" s="429">
        <v>0</v>
      </c>
      <c r="G49" s="429">
        <v>12789001.410171002</v>
      </c>
      <c r="H49" s="430">
        <f>G49/$G$50</f>
        <v>0.46891486144241401</v>
      </c>
      <c r="I49" s="429">
        <v>1145750.0805613799</v>
      </c>
      <c r="J49" s="431">
        <f>SUM(B49:B49,F50)/SUM(C49:G49)-1</f>
        <v>8.9588705467666063E-2</v>
      </c>
      <c r="L49" s="575"/>
    </row>
    <row r="50" spans="1:12" ht="13.5" thickBot="1" x14ac:dyDescent="0.4">
      <c r="A50" s="383" t="s">
        <v>4</v>
      </c>
      <c r="B50" s="432">
        <f t="shared" ref="B50:I50" si="3">SUM(B45:B49)</f>
        <v>29533584.548126347</v>
      </c>
      <c r="C50" s="432">
        <f t="shared" si="3"/>
        <v>7794677.1134714335</v>
      </c>
      <c r="D50" s="432">
        <f t="shared" si="3"/>
        <v>8093238.5076937182</v>
      </c>
      <c r="E50" s="432">
        <f t="shared" si="3"/>
        <v>20802639.926531881</v>
      </c>
      <c r="F50" s="432">
        <f t="shared" si="3"/>
        <v>12927537.706983376</v>
      </c>
      <c r="G50" s="432">
        <f t="shared" si="3"/>
        <v>27273610.759171002</v>
      </c>
      <c r="H50" s="433">
        <f t="shared" si="3"/>
        <v>1</v>
      </c>
      <c r="I50" s="432">
        <f t="shared" si="3"/>
        <v>2259973.7889553546</v>
      </c>
      <c r="J50" s="434"/>
    </row>
    <row r="52" spans="1:12" s="376" customFormat="1" ht="15" x14ac:dyDescent="0.4">
      <c r="A52" s="381" t="s">
        <v>71</v>
      </c>
      <c r="B52" s="382"/>
      <c r="C52" s="382"/>
      <c r="D52" s="382"/>
      <c r="E52" s="382"/>
      <c r="F52" s="382"/>
      <c r="G52" s="382"/>
      <c r="H52" s="382"/>
      <c r="I52" s="382"/>
      <c r="J52" s="382"/>
    </row>
    <row r="53" spans="1:12" ht="13.15" thickBot="1" x14ac:dyDescent="0.4"/>
    <row r="54" spans="1:12" ht="27.75" customHeight="1" thickBot="1" x14ac:dyDescent="0.4">
      <c r="A54" s="1"/>
      <c r="B54" s="1"/>
      <c r="C54" s="417" t="s">
        <v>38</v>
      </c>
      <c r="D54" s="418"/>
      <c r="E54" s="418"/>
      <c r="F54" s="419"/>
      <c r="G54" s="1"/>
      <c r="H54" s="1"/>
      <c r="I54" s="1"/>
      <c r="J54" s="1"/>
    </row>
    <row r="55" spans="1:12" ht="26.65" thickBot="1" x14ac:dyDescent="0.4">
      <c r="A55" s="413" t="s">
        <v>48</v>
      </c>
      <c r="B55" s="414" t="s">
        <v>104</v>
      </c>
      <c r="C55" s="415" t="s">
        <v>67</v>
      </c>
      <c r="D55" s="415" t="s">
        <v>39</v>
      </c>
      <c r="E55" s="415" t="s">
        <v>40</v>
      </c>
      <c r="F55" s="415" t="s">
        <v>41</v>
      </c>
      <c r="G55" s="414" t="s">
        <v>42</v>
      </c>
      <c r="H55" s="414" t="s">
        <v>43</v>
      </c>
      <c r="I55" s="414" t="s">
        <v>9</v>
      </c>
      <c r="J55" s="416" t="s">
        <v>44</v>
      </c>
    </row>
    <row r="56" spans="1:12" x14ac:dyDescent="0.35">
      <c r="A56" s="420" t="s">
        <v>37</v>
      </c>
      <c r="B56" s="421">
        <v>7445313.1889786869</v>
      </c>
      <c r="C56" s="421">
        <v>2941166.4972142931</v>
      </c>
      <c r="D56" s="421">
        <v>1801122.9403311596</v>
      </c>
      <c r="E56" s="421">
        <v>1744779.3144332326</v>
      </c>
      <c r="F56" s="421">
        <v>0</v>
      </c>
      <c r="G56" s="421">
        <v>869043.03999999992</v>
      </c>
      <c r="H56" s="422">
        <f>G56/$G$61</f>
        <v>7.8851359691075804E-2</v>
      </c>
      <c r="I56" s="421">
        <v>89201.396999999983</v>
      </c>
      <c r="J56" s="423">
        <f>SUM(B56:B56)/SUM(C56:G56)-1</f>
        <v>1.21261611463368E-2</v>
      </c>
      <c r="L56" s="575"/>
    </row>
    <row r="57" spans="1:12" x14ac:dyDescent="0.35">
      <c r="A57" s="424" t="s">
        <v>36</v>
      </c>
      <c r="B57" s="425">
        <v>1632778.0427795388</v>
      </c>
      <c r="C57" s="425">
        <v>0</v>
      </c>
      <c r="D57" s="425">
        <v>1343176.8870868776</v>
      </c>
      <c r="E57" s="425">
        <v>2683209.9024157715</v>
      </c>
      <c r="F57" s="425">
        <v>0</v>
      </c>
      <c r="G57" s="425">
        <v>495551.87899999996</v>
      </c>
      <c r="H57" s="426">
        <f>G57/$G$61</f>
        <v>4.4963180945120369E-2</v>
      </c>
      <c r="I57" s="425">
        <v>52005.871491182384</v>
      </c>
      <c r="J57" s="427">
        <f>SUM(B57:B57,C61)/SUM(C57:G57)-1</f>
        <v>1.1500790988923981E-2</v>
      </c>
      <c r="L57" s="575"/>
    </row>
    <row r="58" spans="1:12" x14ac:dyDescent="0.35">
      <c r="A58" s="424" t="s">
        <v>35</v>
      </c>
      <c r="B58" s="425">
        <v>1852530.1604019944</v>
      </c>
      <c r="C58" s="425">
        <v>0</v>
      </c>
      <c r="D58" s="425">
        <v>0</v>
      </c>
      <c r="E58" s="425">
        <v>3748430.6205911711</v>
      </c>
      <c r="F58" s="425">
        <v>886.66027068479548</v>
      </c>
      <c r="G58" s="425">
        <v>1170747.4839999999</v>
      </c>
      <c r="H58" s="426">
        <f>G58/$G$61</f>
        <v>0.10622607479637144</v>
      </c>
      <c r="I58" s="425">
        <v>76765.222958175582</v>
      </c>
      <c r="J58" s="427">
        <f>SUM(B58:B58,D61)/SUM(C58:G58)-1</f>
        <v>1.5602482208449286E-2</v>
      </c>
      <c r="L58" s="575"/>
    </row>
    <row r="59" spans="1:12" x14ac:dyDescent="0.35">
      <c r="A59" s="424" t="s">
        <v>34</v>
      </c>
      <c r="B59" s="425">
        <v>587036.17101599998</v>
      </c>
      <c r="C59" s="425">
        <v>0</v>
      </c>
      <c r="D59" s="425">
        <v>0</v>
      </c>
      <c r="E59" s="425">
        <v>0</v>
      </c>
      <c r="F59" s="425">
        <v>4992072.0371006168</v>
      </c>
      <c r="G59" s="425">
        <v>3543155.2690000003</v>
      </c>
      <c r="H59" s="426">
        <f>G59/$G$61</f>
        <v>0.3214830540006966</v>
      </c>
      <c r="I59" s="425">
        <v>228228.70235555878</v>
      </c>
      <c r="J59" s="427">
        <f>SUM(B59:B59,E61)/SUM(C59:G59)-1</f>
        <v>2.673961620124965E-2</v>
      </c>
      <c r="L59" s="575"/>
    </row>
    <row r="60" spans="1:12" ht="13.15" thickBot="1" x14ac:dyDescent="0.4">
      <c r="A60" s="428" t="s">
        <v>47</v>
      </c>
      <c r="B60" s="429">
        <v>424238.39417199994</v>
      </c>
      <c r="C60" s="429">
        <v>0</v>
      </c>
      <c r="D60" s="429">
        <v>0</v>
      </c>
      <c r="E60" s="429">
        <v>0</v>
      </c>
      <c r="F60" s="429">
        <v>0</v>
      </c>
      <c r="G60" s="429">
        <v>4942783.9318270031</v>
      </c>
      <c r="H60" s="430">
        <f>G60/$G$61</f>
        <v>0.4484763305667358</v>
      </c>
      <c r="I60" s="429">
        <v>474413.15971630241</v>
      </c>
      <c r="J60" s="431">
        <f>SUM(B60:B60,F61)/SUM(C60:G60)-1</f>
        <v>9.5980962603182229E-2</v>
      </c>
      <c r="L60" s="575"/>
    </row>
    <row r="61" spans="1:12" ht="13.5" thickBot="1" x14ac:dyDescent="0.4">
      <c r="A61" s="383" t="s">
        <v>4</v>
      </c>
      <c r="B61" s="432">
        <f t="shared" ref="B61:I61" si="4">SUM(B56:B60)</f>
        <v>11941895.95734822</v>
      </c>
      <c r="C61" s="432">
        <f t="shared" si="4"/>
        <v>2941166.4972142931</v>
      </c>
      <c r="D61" s="432">
        <f t="shared" si="4"/>
        <v>3144299.8274180372</v>
      </c>
      <c r="E61" s="432">
        <f t="shared" si="4"/>
        <v>8176419.837440175</v>
      </c>
      <c r="F61" s="432">
        <f t="shared" si="4"/>
        <v>4992958.6973713012</v>
      </c>
      <c r="G61" s="432">
        <f t="shared" si="4"/>
        <v>11021281.603827003</v>
      </c>
      <c r="H61" s="433">
        <f t="shared" si="4"/>
        <v>1</v>
      </c>
      <c r="I61" s="432">
        <f t="shared" si="4"/>
        <v>920614.35352121911</v>
      </c>
      <c r="J61" s="434"/>
    </row>
    <row r="63" spans="1:12" s="376" customFormat="1" ht="15" x14ac:dyDescent="0.4">
      <c r="A63" s="381" t="s">
        <v>72</v>
      </c>
      <c r="B63" s="382"/>
      <c r="C63" s="382"/>
      <c r="D63" s="382"/>
      <c r="E63" s="382"/>
      <c r="F63" s="382"/>
      <c r="G63" s="382"/>
      <c r="H63" s="382"/>
      <c r="I63" s="382"/>
      <c r="J63" s="382"/>
    </row>
    <row r="64" spans="1:12" ht="13.15" thickBot="1" x14ac:dyDescent="0.4"/>
    <row r="65" spans="1:12" ht="27.75" customHeight="1" thickBot="1" x14ac:dyDescent="0.4">
      <c r="A65" s="1"/>
      <c r="B65" s="1"/>
      <c r="C65" s="417" t="s">
        <v>38</v>
      </c>
      <c r="D65" s="418"/>
      <c r="E65" s="418"/>
      <c r="F65" s="419"/>
      <c r="G65" s="1"/>
      <c r="H65" s="1"/>
      <c r="I65" s="1"/>
      <c r="J65" s="1"/>
    </row>
    <row r="66" spans="1:12" ht="26.65" thickBot="1" x14ac:dyDescent="0.4">
      <c r="A66" s="413" t="s">
        <v>48</v>
      </c>
      <c r="B66" s="414" t="s">
        <v>104</v>
      </c>
      <c r="C66" s="415" t="s">
        <v>67</v>
      </c>
      <c r="D66" s="415" t="s">
        <v>39</v>
      </c>
      <c r="E66" s="415" t="s">
        <v>40</v>
      </c>
      <c r="F66" s="415" t="s">
        <v>41</v>
      </c>
      <c r="G66" s="414" t="s">
        <v>42</v>
      </c>
      <c r="H66" s="414" t="s">
        <v>43</v>
      </c>
      <c r="I66" s="414" t="s">
        <v>9</v>
      </c>
      <c r="J66" s="416" t="s">
        <v>44</v>
      </c>
    </row>
    <row r="67" spans="1:12" x14ac:dyDescent="0.35">
      <c r="A67" s="420" t="s">
        <v>37</v>
      </c>
      <c r="B67" s="421">
        <v>76029880.020437449</v>
      </c>
      <c r="C67" s="421">
        <v>31167387.428264745</v>
      </c>
      <c r="D67" s="421">
        <v>18169930.855825137</v>
      </c>
      <c r="E67" s="421">
        <v>16719046.563347546</v>
      </c>
      <c r="F67" s="421">
        <v>0</v>
      </c>
      <c r="G67" s="421">
        <v>9126205.486000007</v>
      </c>
      <c r="H67" s="422">
        <f>G67/$G$72</f>
        <v>8.8806498871406361E-2</v>
      </c>
      <c r="I67" s="421">
        <v>847309.68700002122</v>
      </c>
      <c r="J67" s="423">
        <f>SUM(B67:B67)/SUM(C67:G67)-1</f>
        <v>1.1270028189275472E-2</v>
      </c>
      <c r="L67" s="575"/>
    </row>
    <row r="68" spans="1:12" x14ac:dyDescent="0.35">
      <c r="A68" s="424" t="s">
        <v>36</v>
      </c>
      <c r="B68" s="425">
        <v>15351899.670174561</v>
      </c>
      <c r="C68" s="425">
        <v>0</v>
      </c>
      <c r="D68" s="425">
        <v>13564773.344840715</v>
      </c>
      <c r="E68" s="425">
        <v>27125669.883905273</v>
      </c>
      <c r="F68" s="425">
        <v>0</v>
      </c>
      <c r="G68" s="425">
        <v>5193201.3079999993</v>
      </c>
      <c r="H68" s="426">
        <f>G68/$G$72</f>
        <v>5.0534696682577811E-2</v>
      </c>
      <c r="I68" s="425">
        <v>635642.56169332028</v>
      </c>
      <c r="J68" s="427">
        <f>SUM(B68:B68,C72)/SUM(C68:G68)-1</f>
        <v>1.3853358165222929E-2</v>
      </c>
      <c r="L68" s="575"/>
    </row>
    <row r="69" spans="1:12" x14ac:dyDescent="0.35">
      <c r="A69" s="424" t="s">
        <v>35</v>
      </c>
      <c r="B69" s="425">
        <v>16578897.325498784</v>
      </c>
      <c r="C69" s="425">
        <v>0</v>
      </c>
      <c r="D69" s="425">
        <v>0</v>
      </c>
      <c r="E69" s="425">
        <v>36684918.136364095</v>
      </c>
      <c r="F69" s="425">
        <v>8285.9365114537504</v>
      </c>
      <c r="G69" s="425">
        <v>10732783.182999996</v>
      </c>
      <c r="H69" s="426">
        <f>G69/$G$72</f>
        <v>0.1044399996351493</v>
      </c>
      <c r="I69" s="425">
        <v>887614.27028909489</v>
      </c>
      <c r="J69" s="427">
        <f>SUM(B69:B69,D72)/SUM(C69:G69)-1</f>
        <v>1.8715778450750564E-2</v>
      </c>
      <c r="L69" s="575"/>
    </row>
    <row r="70" spans="1:12" x14ac:dyDescent="0.35">
      <c r="A70" s="424" t="s">
        <v>34</v>
      </c>
      <c r="B70" s="425">
        <v>3928823.8944929997</v>
      </c>
      <c r="C70" s="425">
        <v>0</v>
      </c>
      <c r="D70" s="425">
        <v>0</v>
      </c>
      <c r="E70" s="425">
        <v>0</v>
      </c>
      <c r="F70" s="425">
        <v>51462799.308786988</v>
      </c>
      <c r="G70" s="425">
        <v>30493216.636000007</v>
      </c>
      <c r="H70" s="426">
        <f>G70/$G$72</f>
        <v>0.29672746388678917</v>
      </c>
      <c r="I70" s="425">
        <v>2502442.5333229201</v>
      </c>
      <c r="J70" s="427">
        <f>SUM(B70:B70,E72)/SUM(C70:G70)-1</f>
        <v>3.0533970013974177E-2</v>
      </c>
      <c r="L70" s="575"/>
    </row>
    <row r="71" spans="1:12" ht="13.15" thickBot="1" x14ac:dyDescent="0.4">
      <c r="A71" s="428" t="s">
        <v>47</v>
      </c>
      <c r="B71" s="429">
        <v>1573715.0825220007</v>
      </c>
      <c r="C71" s="429">
        <v>0</v>
      </c>
      <c r="D71" s="429">
        <v>0</v>
      </c>
      <c r="E71" s="429">
        <v>0</v>
      </c>
      <c r="F71" s="429">
        <v>0</v>
      </c>
      <c r="G71" s="429">
        <v>47219656.777405009</v>
      </c>
      <c r="H71" s="430">
        <f>G71/$G$72</f>
        <v>0.45949134092407729</v>
      </c>
      <c r="I71" s="429">
        <v>5825143.5504154395</v>
      </c>
      <c r="J71" s="431">
        <f>SUM(B71:B71,F72)/SUM(C71:G71)-1</f>
        <v>0.12336268300033071</v>
      </c>
      <c r="L71" s="575"/>
    </row>
    <row r="72" spans="1:12" ht="13.5" thickBot="1" x14ac:dyDescent="0.4">
      <c r="A72" s="383" t="s">
        <v>4</v>
      </c>
      <c r="B72" s="432">
        <f t="shared" ref="B72:I72" si="5">SUM(B67:B71)</f>
        <v>113463215.99312581</v>
      </c>
      <c r="C72" s="432">
        <f t="shared" si="5"/>
        <v>31167387.428264745</v>
      </c>
      <c r="D72" s="432">
        <f t="shared" si="5"/>
        <v>31734704.200665854</v>
      </c>
      <c r="E72" s="432">
        <f t="shared" si="5"/>
        <v>80529634.583616912</v>
      </c>
      <c r="F72" s="432">
        <f t="shared" si="5"/>
        <v>51471085.245298445</v>
      </c>
      <c r="G72" s="432">
        <f t="shared" si="5"/>
        <v>102765063.39040503</v>
      </c>
      <c r="H72" s="433">
        <f t="shared" si="5"/>
        <v>0.99999999999999989</v>
      </c>
      <c r="I72" s="432">
        <f t="shared" si="5"/>
        <v>10698152.602720797</v>
      </c>
      <c r="J72" s="43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headerFooter>
    <oddFooter>&amp;C_x000D_&amp;1#&amp;"Calibri"&amp;10&amp;K000000 INTERNA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F8A-50A0-4A8E-AF10-0D1B56E46D27}">
  <dimension ref="A1:I23"/>
  <sheetViews>
    <sheetView showGridLines="0" workbookViewId="0">
      <selection activeCell="K19" sqref="K19"/>
    </sheetView>
  </sheetViews>
  <sheetFormatPr baseColWidth="10" defaultRowHeight="12.75" x14ac:dyDescent="0.35"/>
  <cols>
    <col min="1" max="1" width="14.1328125" customWidth="1"/>
    <col min="2" max="2" width="11.3984375" customWidth="1"/>
    <col min="3" max="3" width="13.3984375" customWidth="1"/>
  </cols>
  <sheetData>
    <row r="1" spans="1:9" s="1" customFormat="1" x14ac:dyDescent="0.35"/>
    <row r="2" spans="1:9" s="1" customFormat="1" x14ac:dyDescent="0.35"/>
    <row r="3" spans="1:9" s="1" customFormat="1" x14ac:dyDescent="0.35"/>
    <row r="4" spans="1:9" s="1" customFormat="1" x14ac:dyDescent="0.35"/>
    <row r="5" spans="1:9" s="1" customFormat="1" x14ac:dyDescent="0.35"/>
    <row r="6" spans="1:9" s="4" customFormat="1" ht="63" customHeight="1" x14ac:dyDescent="0.35">
      <c r="A6" s="613" t="s">
        <v>182</v>
      </c>
      <c r="B6" s="613"/>
      <c r="C6" s="613"/>
      <c r="D6" s="613"/>
      <c r="E6" s="613"/>
      <c r="F6" s="613"/>
      <c r="G6" s="613"/>
      <c r="H6" s="613"/>
      <c r="I6" s="613"/>
    </row>
    <row r="7" spans="1:9" ht="13.15" thickBot="1" x14ac:dyDescent="0.4"/>
    <row r="8" spans="1:9" ht="25.5" x14ac:dyDescent="0.35">
      <c r="A8" s="57" t="s">
        <v>50</v>
      </c>
      <c r="B8" s="64" t="s">
        <v>66</v>
      </c>
      <c r="C8" s="58" t="s">
        <v>49</v>
      </c>
      <c r="D8" s="64" t="s">
        <v>15</v>
      </c>
      <c r="E8" s="64" t="s">
        <v>16</v>
      </c>
      <c r="F8" s="64" t="s">
        <v>17</v>
      </c>
      <c r="G8" s="64" t="s">
        <v>18</v>
      </c>
      <c r="H8" s="64" t="s">
        <v>19</v>
      </c>
      <c r="I8" s="69" t="s">
        <v>20</v>
      </c>
    </row>
    <row r="9" spans="1:9" ht="18" x14ac:dyDescent="0.35">
      <c r="A9" s="59" t="s">
        <v>10</v>
      </c>
      <c r="B9" s="65" t="s">
        <v>10</v>
      </c>
      <c r="C9" s="60" t="s">
        <v>51</v>
      </c>
      <c r="D9" s="70">
        <v>1</v>
      </c>
      <c r="E9" s="70">
        <v>1</v>
      </c>
      <c r="F9" s="70">
        <v>1</v>
      </c>
      <c r="G9" s="70">
        <v>1</v>
      </c>
      <c r="H9" s="70">
        <v>1</v>
      </c>
      <c r="I9" s="76">
        <v>1</v>
      </c>
    </row>
    <row r="10" spans="1:9" ht="18" x14ac:dyDescent="0.35">
      <c r="A10" s="609" t="s">
        <v>11</v>
      </c>
      <c r="B10" s="66" t="s">
        <v>11</v>
      </c>
      <c r="C10" s="61" t="s">
        <v>52</v>
      </c>
      <c r="D10" s="71">
        <f>'IIa. Balances de Potencia'!$G$15/('IIa. Balances de Potencia'!$F$15+'IIa. Balances de Potencia'!$G$15)</f>
        <v>0.2729508647213113</v>
      </c>
      <c r="E10" s="71">
        <f>'IIa. Balances de Potencia'!$G$26/('IIa. Balances de Potencia'!$F$26+'IIa. Balances de Potencia'!$G$26)</f>
        <v>0.28275512022192573</v>
      </c>
      <c r="F10" s="71">
        <f>'IIa. Balances de Potencia'!$G$37/('IIa. Balances de Potencia'!$F$37+'IIa. Balances de Potencia'!$G$37)</f>
        <v>0.31175255230989535</v>
      </c>
      <c r="G10" s="71">
        <f>'IIa. Balances de Potencia'!$G$48/('IIa. Balances de Potencia'!$F$48+'IIa. Balances de Potencia'!$G$48)</f>
        <v>0.34942011994200067</v>
      </c>
      <c r="H10" s="71">
        <f>'IIa. Balances de Potencia'!$G$59/('IIa. Balances de Potencia'!$F$59+'IIa. Balances de Potencia'!$G$59)</f>
        <v>0.39879433387128671</v>
      </c>
      <c r="I10" s="77">
        <f>'IIa. Balances de Potencia'!$G$70/('IIa. Balances de Potencia'!$F$70+'IIa. Balances de Potencia'!$G$70)</f>
        <v>0.23915771570995834</v>
      </c>
    </row>
    <row r="11" spans="1:9" ht="18" x14ac:dyDescent="0.35">
      <c r="A11" s="610"/>
      <c r="B11" s="67" t="s">
        <v>10</v>
      </c>
      <c r="C11" s="62" t="s">
        <v>53</v>
      </c>
      <c r="D11" s="72">
        <f>'IIa. Balances de Potencia'!$F$15/('IIa. Balances de Potencia'!$F$15+'IIa. Balances de Potencia'!$G$15)</f>
        <v>0.72704913527868875</v>
      </c>
      <c r="E11" s="72">
        <f>'IIa. Balances de Potencia'!$F$26/('IIa. Balances de Potencia'!$F$26+'IIa. Balances de Potencia'!$G$26)</f>
        <v>0.71724487977807427</v>
      </c>
      <c r="F11" s="72">
        <f>'IIa. Balances de Potencia'!$F$37/('IIa. Balances de Potencia'!$F$37+'IIa. Balances de Potencia'!$G$37)</f>
        <v>0.6882474476901046</v>
      </c>
      <c r="G11" s="72">
        <f>'IIa. Balances de Potencia'!$F$48/('IIa. Balances de Potencia'!$F$48+'IIa. Balances de Potencia'!$G$48)</f>
        <v>0.65057988005799938</v>
      </c>
      <c r="H11" s="72">
        <f>'IIa. Balances de Potencia'!$F$59/('IIa. Balances de Potencia'!$F$59+'IIa. Balances de Potencia'!$G$59)</f>
        <v>0.60120566612871329</v>
      </c>
      <c r="I11" s="78">
        <f>'IIa. Balances de Potencia'!$F$70/('IIa. Balances de Potencia'!$F$70+'IIa. Balances de Potencia'!$G$70)</f>
        <v>0.76084228429004164</v>
      </c>
    </row>
    <row r="12" spans="1:9" ht="17.25" x14ac:dyDescent="0.35">
      <c r="A12" s="609" t="s">
        <v>12</v>
      </c>
      <c r="B12" s="66" t="s">
        <v>12</v>
      </c>
      <c r="C12" s="61" t="s">
        <v>54</v>
      </c>
      <c r="D12" s="71">
        <f>'IIa. Balances de Potencia'!$G$14/SUM('IIa. Balances de Potencia'!$E$14:$G$14)</f>
        <v>0.16190765892711012</v>
      </c>
      <c r="E12" s="71">
        <f>'IIa. Balances de Potencia'!$G$25/SUM('IIa. Balances de Potencia'!$E$25:$G$25)</f>
        <v>0.16783765161123901</v>
      </c>
      <c r="F12" s="71">
        <f>'IIa. Balances de Potencia'!$G$36/SUM('IIa. Balances de Potencia'!$E$36:$G$36)</f>
        <v>0.15458333938911856</v>
      </c>
      <c r="G12" s="71">
        <f>'IIa. Balances de Potencia'!$G$47/SUM('IIa. Balances de Potencia'!$E$47:$G$47)</f>
        <v>0.16632980529427802</v>
      </c>
      <c r="H12" s="71">
        <f>'IIa. Balances de Potencia'!$G$58/SUM('IIa. Balances de Potencia'!$E$58:$G$58)</f>
        <v>0.2078154953148261</v>
      </c>
      <c r="I12" s="77">
        <f>'IIa. Balances de Potencia'!$G$69/SUM('IIa. Balances de Potencia'!$E$69:$G$69)</f>
        <v>0.14618147643431531</v>
      </c>
    </row>
    <row r="13" spans="1:9" ht="17.25" x14ac:dyDescent="0.35">
      <c r="A13" s="611"/>
      <c r="B13" s="66" t="s">
        <v>11</v>
      </c>
      <c r="C13" s="61" t="s">
        <v>55</v>
      </c>
      <c r="D13" s="71">
        <f>'IIa. Balances de Potencia'!$E$14/SUM('IIa. Balances de Potencia'!$E$14:$G$14)*D10</f>
        <v>0.2287059462991855</v>
      </c>
      <c r="E13" s="71">
        <f>'IIa. Balances de Potencia'!$E$25/SUM('IIa. Balances de Potencia'!$E$25:$G$25)*E10</f>
        <v>0.23524414622966905</v>
      </c>
      <c r="F13" s="71">
        <f>'IIa. Balances de Potencia'!$E$36/SUM('IIa. Balances de Potencia'!$E$36:$G$36)*F10</f>
        <v>0.26349610255905409</v>
      </c>
      <c r="G13" s="71">
        <f>'IIa. Balances de Potencia'!$E$47/SUM('IIa. Balances de Potencia'!$E$47:$G$47)*G10</f>
        <v>0.29122321623072106</v>
      </c>
      <c r="H13" s="71">
        <f>'IIa. Balances de Potencia'!$E$58/SUM('IIa. Balances de Potencia'!$E$58:$G$58)*H10</f>
        <v>0.31584545698119415</v>
      </c>
      <c r="I13" s="77">
        <f>'IIa. Balances de Potencia'!$E$69/SUM('IIa. Balances de Potencia'!$E$69:$G$69)*I10</f>
        <v>0.20415219614172725</v>
      </c>
    </row>
    <row r="14" spans="1:9" ht="17.25" x14ac:dyDescent="0.35">
      <c r="A14" s="610"/>
      <c r="B14" s="67" t="s">
        <v>10</v>
      </c>
      <c r="C14" s="62" t="s">
        <v>56</v>
      </c>
      <c r="D14" s="72">
        <f>'IIa. Balances de Potencia'!$F$14/SUM('IIa. Balances de Potencia'!$E$14:$G$14)+'IIa. Balances de Potencia'!$E$14/SUM('IIa. Balances de Potencia'!$E$14:$G$14)*D11</f>
        <v>0.60938639477370438</v>
      </c>
      <c r="E14" s="72">
        <f>'IIa. Balances de Potencia'!$F$25/SUM('IIa. Balances de Potencia'!$E$25:$G$25)+'IIa. Balances de Potencia'!$E$25/SUM('IIa. Balances de Potencia'!$E$25:$G$25)*E11</f>
        <v>0.59691820215909186</v>
      </c>
      <c r="F14" s="72">
        <f>'IIa. Balances de Potencia'!$F$36/SUM('IIa. Balances de Potencia'!$E$36:$G$36)+'IIa. Balances de Potencia'!$E$36/SUM('IIa. Balances de Potencia'!$E$36:$G$36)*F11</f>
        <v>0.58192055805182741</v>
      </c>
      <c r="G14" s="72">
        <f>'IIa. Balances de Potencia'!$F$47/SUM('IIa. Balances de Potencia'!$E$47:$G$47)+'IIa. Balances de Potencia'!$E$47/SUM('IIa. Balances de Potencia'!$E$47:$G$47)*G11</f>
        <v>0.5424469784750009</v>
      </c>
      <c r="H14" s="72">
        <f>'IIa. Balances de Potencia'!$F$58/SUM('IIa. Balances de Potencia'!$E$58:$G$58)+'IIa. Balances de Potencia'!$E$58/SUM('IIa. Balances de Potencia'!$E$58:$G$58)*H11</f>
        <v>0.47633904770397967</v>
      </c>
      <c r="I14" s="78">
        <f>'IIa. Balances de Potencia'!$F$69/SUM('IIa. Balances de Potencia'!$E$69:$G$69)+'IIa. Balances de Potencia'!$E$69/SUM('IIa. Balances de Potencia'!$E$69:$G$69)*I11</f>
        <v>0.64966632742395736</v>
      </c>
    </row>
    <row r="15" spans="1:9" ht="17.25" x14ac:dyDescent="0.35">
      <c r="A15" s="609" t="s">
        <v>13</v>
      </c>
      <c r="B15" s="66" t="s">
        <v>13</v>
      </c>
      <c r="C15" s="61" t="s">
        <v>57</v>
      </c>
      <c r="D15" s="71">
        <f>'IIa. Balances de Potencia'!$G$13/SUM('IIa. Balances de Potencia'!$C$13:$G$13)</f>
        <v>5.5869651807850626E-2</v>
      </c>
      <c r="E15" s="71">
        <f>'IIa. Balances de Potencia'!$G$24/SUM('IIa. Balances de Potencia'!$C$24:$G$24)</f>
        <v>6.4066060354206048E-2</v>
      </c>
      <c r="F15" s="71">
        <f>'IIa. Balances de Potencia'!$G$35/SUM('IIa. Balances de Potencia'!$C$35:$G$35)</f>
        <v>7.194717281722661E-2</v>
      </c>
      <c r="G15" s="71">
        <f>'IIa. Balances de Potencia'!$G$46/SUM('IIa. Balances de Potencia'!$C$46:$G$46)</f>
        <v>8.1543960132191201E-2</v>
      </c>
      <c r="H15" s="71">
        <f>'IIa. Balances de Potencia'!$G$57/SUM('IIa. Balances de Potencia'!$C$57:$G$57)</f>
        <v>9.5047902902903783E-2</v>
      </c>
      <c r="I15" s="77">
        <f>'IIa. Balances de Potencia'!$G$68/SUM('IIa. Balances de Potencia'!$C$68:$G$68)</f>
        <v>6.7804836907315438E-2</v>
      </c>
    </row>
    <row r="16" spans="1:9" ht="17.25" x14ac:dyDescent="0.35">
      <c r="A16" s="611"/>
      <c r="B16" s="66" t="s">
        <v>12</v>
      </c>
      <c r="C16" s="61" t="s">
        <v>58</v>
      </c>
      <c r="D16" s="71">
        <f>'IIa. Balances de Potencia'!$D$13/SUM('IIa. Balances de Potencia'!$C$13:$G$13)*$D$12</f>
        <v>5.1612672910892082E-2</v>
      </c>
      <c r="E16" s="71">
        <f>'IIa. Balances de Potencia'!$D$24/SUM('IIa. Balances de Potencia'!$C$24:$G$24)*$E$12</f>
        <v>5.2877256476311314E-2</v>
      </c>
      <c r="F16" s="71">
        <f>'IIa. Balances de Potencia'!$D$35/SUM('IIa. Balances de Potencia'!$C$35:$G$35)*$F$12</f>
        <v>4.7144876514641387E-2</v>
      </c>
      <c r="G16" s="71">
        <f>'IIa. Balances de Potencia'!$D$46/SUM('IIa. Balances de Potencia'!$C$46:$G$46)*$G$12</f>
        <v>4.7370351261898432E-2</v>
      </c>
      <c r="H16" s="71">
        <f>'IIa. Balances de Potencia'!$D$57/SUM('IIa. Balances de Potencia'!$C$57:$G$57)*$H$12</f>
        <v>6.6228632787922903E-2</v>
      </c>
      <c r="I16" s="77">
        <f>'IIa. Balances de Potencia'!$D$68/SUM('IIa. Balances de Potencia'!$C$68:$G$68)*$I$12</f>
        <v>4.5953737664834612E-2</v>
      </c>
    </row>
    <row r="17" spans="1:9" ht="17.25" x14ac:dyDescent="0.35">
      <c r="A17" s="611"/>
      <c r="B17" s="66" t="s">
        <v>11</v>
      </c>
      <c r="C17" s="61" t="s">
        <v>59</v>
      </c>
      <c r="D17" s="71">
        <f>'IIa. Balances de Potencia'!$E$13/SUM('IIa. Balances de Potencia'!$C$13:$G$13)*$D$10+'IIa. Balances de Potencia'!$D$13/SUM('IIa. Balances de Potencia'!$C$13:$G$13)*$D$13</f>
        <v>0.24359686833669209</v>
      </c>
      <c r="E17" s="71">
        <f>'IIa. Balances de Potencia'!$E$24/SUM('IIa. Balances de Potencia'!$C$24:$G$24)*$E$10+'IIa. Balances de Potencia'!$D$24/SUM('IIa. Balances de Potencia'!$C$24:$G$24)*$E$13</f>
        <v>0.24967178004059087</v>
      </c>
      <c r="F17" s="71">
        <f>'IIa. Balances de Potencia'!$E$35/SUM('IIa. Balances de Potencia'!$C$35:$G$35)*$F$10+'IIa. Balances de Potencia'!$D$35/SUM('IIa. Balances de Potencia'!$C$35:$G$35)*$F$13</f>
        <v>0.27460557000279717</v>
      </c>
      <c r="G17" s="71">
        <f>'IIa. Balances de Potencia'!$E$46/SUM('IIa. Balances de Potencia'!$C$46:$G$46)*$G$10+'IIa. Balances de Potencia'!$D$46/SUM('IIa. Balances de Potencia'!$C$46:$G$46)*$G$13</f>
        <v>0.3043526734431341</v>
      </c>
      <c r="H17" s="71">
        <f>'IIa. Balances de Potencia'!$E$57/SUM('IIa. Balances de Potencia'!$C$57:$G$57)*$H$10+'IIa. Balances de Potencia'!$D$57/SUM('IIa. Balances de Potencia'!$C$57:$G$57)*$H$13</f>
        <v>0.33445482606215338</v>
      </c>
      <c r="I17" s="77">
        <f>'IIa. Balances de Potencia'!$E$68/SUM('IIa. Balances de Potencia'!$C$68:$G$68)*$I$10+'IIa. Balances de Potencia'!$D$68/SUM('IIa. Balances de Potencia'!$C$68:$G$68)*$I$13</f>
        <v>0.21193729984246337</v>
      </c>
    </row>
    <row r="18" spans="1:9" ht="15.75" x14ac:dyDescent="0.35">
      <c r="A18" s="610"/>
      <c r="B18" s="67" t="s">
        <v>10</v>
      </c>
      <c r="C18" s="62" t="s">
        <v>60</v>
      </c>
      <c r="D18" s="72">
        <f>'IIa. Balances de Potencia'!$F$13/SUM('IIa. Balances de Potencia'!$C$13:$G$13)+'IIa. Balances de Potencia'!$D$13/SUM('IIa. Balances de Potencia'!$C$13:$G$13)*$D$14+'IIa. Balances de Potencia'!$E$13/SUM('IIa. Balances de Potencia'!$C$13:$G$13)*$D$11</f>
        <v>0.64892080694456522</v>
      </c>
      <c r="E18" s="72">
        <f>'IIa. Balances de Potencia'!$F$24/SUM('IIa. Balances de Potencia'!$C$24:$G$24)+'IIa. Balances de Potencia'!$D$24/SUM('IIa. Balances de Potencia'!$C$24:$G$24)*$E$14+'IIa. Balances de Potencia'!$E$24/SUM('IIa. Balances de Potencia'!$C$24:$G$24)*$E$11</f>
        <v>0.63338490312889162</v>
      </c>
      <c r="F18" s="72">
        <f>'IIa. Balances de Potencia'!$F$35/SUM('IIa. Balances de Potencia'!$C$35:$G$35)+'IIa. Balances de Potencia'!$D$35/SUM('IIa. Balances de Potencia'!$C$35:$G$35)*$F$14+'IIa. Balances de Potencia'!$E$35/SUM('IIa. Balances de Potencia'!$C$35:$G$35)*$F$11</f>
        <v>0.60630238066533471</v>
      </c>
      <c r="G18" s="72">
        <f>'IIa. Balances de Potencia'!$F$46/SUM('IIa. Balances de Potencia'!$C$46:$G$46)+'IIa. Balances de Potencia'!$D$46/SUM('IIa. Balances de Potencia'!$C$46:$G$46)*$G$14+'IIa. Balances de Potencia'!$E$46/SUM('IIa. Balances de Potencia'!$C$46:$G$46)*$G$11</f>
        <v>0.5667330151627763</v>
      </c>
      <c r="H18" s="72">
        <f>'IIa. Balances de Potencia'!$F$57/SUM('IIa. Balances de Potencia'!$C$57:$G$57)+'IIa. Balances de Potencia'!$D$57/SUM('IIa. Balances de Potencia'!$C$57:$G$57)*$H$14+'IIa. Balances de Potencia'!$E$57/SUM('IIa. Balances de Potencia'!$C$57:$G$57)*$H$11</f>
        <v>0.50426863824701984</v>
      </c>
      <c r="I18" s="78">
        <f>'IIa. Balances de Potencia'!$F$68/SUM('IIa. Balances de Potencia'!$C$68:$G$68)+'IIa. Balances de Potencia'!$D$68/SUM('IIa. Balances de Potencia'!$C$68:$G$68)*$I$14+'IIa. Balances de Potencia'!$E$68/SUM('IIa. Balances de Potencia'!$C$68:$G$68)*$I$11</f>
        <v>0.67430412558538655</v>
      </c>
    </row>
    <row r="19" spans="1:9" ht="17.25" x14ac:dyDescent="0.35">
      <c r="A19" s="609" t="s">
        <v>14</v>
      </c>
      <c r="B19" s="66" t="s">
        <v>14</v>
      </c>
      <c r="C19" s="61" t="s">
        <v>61</v>
      </c>
      <c r="D19" s="71">
        <f>'IIa. Balances de Potencia'!$G$12/SUM('IIa. Balances de Potencia'!$C$12:$G$12)</f>
        <v>5.879302955133326E-2</v>
      </c>
      <c r="E19" s="71">
        <f>'IIa. Balances de Potencia'!$G$23/SUM('IIa. Balances de Potencia'!$C$23:$G$23)</f>
        <v>6.9308667268920973E-2</v>
      </c>
      <c r="F19" s="71">
        <f>'IIa. Balances de Potencia'!$G$34/SUM('IIa. Balances de Potencia'!$C$34:$G$34)</f>
        <v>5.8972537844512E-2</v>
      </c>
      <c r="G19" s="71">
        <f>'IIa. Balances de Potencia'!$G$45/SUM('IIa. Balances de Potencia'!$C$45:$G$45)</f>
        <v>7.0959679107796006E-2</v>
      </c>
      <c r="H19" s="71">
        <f>'IIa. Balances de Potencia'!$G$56/SUM('IIa. Balances de Potencia'!$C$56:$G$56)</f>
        <v>9.9238173008691047E-2</v>
      </c>
      <c r="I19" s="77">
        <f>'IIa. Balances de Potencia'!$G$67/SUM('IIa. Balances de Potencia'!$C$67:$G$67)</f>
        <v>8.594403726590813E-2</v>
      </c>
    </row>
    <row r="20" spans="1:9" ht="17.25" x14ac:dyDescent="0.35">
      <c r="A20" s="611"/>
      <c r="B20" s="66" t="s">
        <v>13</v>
      </c>
      <c r="C20" s="61" t="s">
        <v>62</v>
      </c>
      <c r="D20" s="71">
        <f>'IIa. Balances de Potencia'!$C$12/SUM('IIa. Balances de Potencia'!$C$12:$G$12)*D15</f>
        <v>2.5085155859230213E-2</v>
      </c>
      <c r="E20" s="71">
        <f>'IIa. Balances de Potencia'!$C$23/SUM('IIa. Balances de Potencia'!$C$23:$G$23)*E15</f>
        <v>2.8190504471303442E-2</v>
      </c>
      <c r="F20" s="71">
        <f>'IIa. Balances de Potencia'!$C$34/SUM('IIa. Balances de Potencia'!$C$34:$G$34)*F15</f>
        <v>3.2281293374526517E-2</v>
      </c>
      <c r="G20" s="71">
        <f>'IIa. Balances de Potencia'!$C$45/SUM('IIa. Balances de Potencia'!$C$45:$G$45)*G15</f>
        <v>3.400105912295507E-2</v>
      </c>
      <c r="H20" s="71">
        <f>'IIa. Balances de Potencia'!$C$56/SUM('IIa. Balances de Potencia'!$C$56:$G$56)*H15</f>
        <v>3.7863373552725156E-2</v>
      </c>
      <c r="I20" s="77">
        <f>'IIa. Balances de Potencia'!$C$67/SUM('IIa. Balances de Potencia'!$C$67:$G$67)*I15</f>
        <v>2.9136994886516596E-2</v>
      </c>
    </row>
    <row r="21" spans="1:9" ht="17.25" x14ac:dyDescent="0.35">
      <c r="A21" s="611"/>
      <c r="B21" s="66" t="s">
        <v>12</v>
      </c>
      <c r="C21" s="61" t="s">
        <v>63</v>
      </c>
      <c r="D21" s="71">
        <f>'IIa. Balances de Potencia'!$D$12/SUM('IIa. Balances de Potencia'!$C$12:$G$12)*D12+'IIa. Balances de Potencia'!$C$12/SUM('IIa. Balances de Potencia'!$C$12:$G$12)*D16</f>
        <v>6.509493815141891E-2</v>
      </c>
      <c r="E21" s="71">
        <f>'IIa. Balances de Potencia'!$D$23/SUM('IIa. Balances de Potencia'!$C$23:$G$23)*E12+'IIa. Balances de Potencia'!$C$23/SUM('IIa. Balances de Potencia'!$C$23:$G$23)*E16</f>
        <v>6.7168791097396305E-2</v>
      </c>
      <c r="F21" s="71">
        <f>'IIa. Balances de Potencia'!$D$34/SUM('IIa. Balances de Potencia'!$C$34:$G$34)*F12+'IIa. Balances de Potencia'!$C$34/SUM('IIa. Balances de Potencia'!$C$34:$G$34)*F16</f>
        <v>6.3504959474254927E-2</v>
      </c>
      <c r="G21" s="71">
        <f>'IIa. Balances de Potencia'!$D$45/SUM('IIa. Balances de Potencia'!$C$45:$G$45)*G12+'IIa. Balances de Potencia'!$C$45/SUM('IIa. Balances de Potencia'!$C$45:$G$45)*G16</f>
        <v>6.2997101630621777E-2</v>
      </c>
      <c r="H21" s="71">
        <f>'IIa. Balances de Potencia'!$D$56/SUM('IIa. Balances de Potencia'!$C$56:$G$56)*H12+'IIa. Balances de Potencia'!$C$56/SUM('IIa. Balances de Potencia'!$C$56:$G$56)*H16</f>
        <v>8.0529781469815556E-2</v>
      </c>
      <c r="I21" s="77">
        <f>'IIa. Balances de Potencia'!$D$67/SUM('IIa. Balances de Potencia'!$C$67:$G$67)*I12+'IIa. Balances de Potencia'!$C$67/SUM('IIa. Balances de Potencia'!$C$67:$G$67)*I16</f>
        <v>5.5239002690909991E-2</v>
      </c>
    </row>
    <row r="22" spans="1:9" ht="17.25" x14ac:dyDescent="0.35">
      <c r="A22" s="611"/>
      <c r="B22" s="66" t="s">
        <v>11</v>
      </c>
      <c r="C22" s="61" t="s">
        <v>64</v>
      </c>
      <c r="D22" s="71">
        <f>'IIa. Balances de Potencia'!$C$12/SUM('IIa. Balances de Potencia'!$C$12:$G$12)*D17+'IIa. Balances de Potencia'!$D$12/SUM('IIa. Balances de Potencia'!$C$12:$G$12)*D13+'IIa. Balances de Potencia'!$E$12/SUM('IIa. Balances de Potencia'!$C$12:$G$12)*D10</f>
        <v>0.23226758190129393</v>
      </c>
      <c r="E22" s="71">
        <f>'IIa. Balances de Potencia'!$C$23/SUM('IIa. Balances de Potencia'!$C$23:$G$23)*E17+'IIa. Balances de Potencia'!$D$23/SUM('IIa. Balances de Potencia'!$C$23:$G$23)*E13+'IIa. Balances de Potencia'!$E$23/SUM('IIa. Balances de Potencia'!$C$23:$G$23)*E10</f>
        <v>0.23617279228364929</v>
      </c>
      <c r="F22" s="71">
        <f>'IIa. Balances de Potencia'!$C$34/SUM('IIa. Balances de Potencia'!$C$34:$G$34)*F17+'IIa. Balances de Potencia'!$D$34/SUM('IIa. Balances de Potencia'!$C$34:$G$34)*F13+'IIa. Balances de Potencia'!$E$34/SUM('IIa. Balances de Potencia'!$C$34:$G$34)*F10</f>
        <v>0.26347952501851962</v>
      </c>
      <c r="G22" s="71">
        <f>'IIa. Balances de Potencia'!$C$45/SUM('IIa. Balances de Potencia'!$C$45:$G$45)*G17+'IIa. Balances de Potencia'!$D$45/SUM('IIa. Balances de Potencia'!$C$45:$G$45)*G13+'IIa. Balances de Potencia'!$E$45/SUM('IIa. Balances de Potencia'!$C$45:$G$45)*G10</f>
        <v>0.29070275812839985</v>
      </c>
      <c r="H22" s="71">
        <f>'IIa. Balances de Potencia'!$C$56/SUM('IIa. Balances de Potencia'!$C$56:$G$56)*H17+'IIa. Balances de Potencia'!$D$56/SUM('IIa. Balances de Potencia'!$C$56:$G$56)*H13+'IIa. Balances de Potencia'!$E$56/SUM('IIa. Balances de Potencia'!$C$56:$G$56)*H10</f>
        <v>0.31197581441821126</v>
      </c>
      <c r="I22" s="77">
        <f>'IIa. Balances de Potencia'!$C$67/SUM('IIa. Balances de Potencia'!$C$67:$G$67)*I17+'IIa. Balances de Potencia'!$D$67/SUM('IIa. Balances de Potencia'!$C$67:$G$67)*I13+'IIa. Balances de Potencia'!$E$67/SUM('IIa. Balances de Potencia'!$C$67:$G$67)*I10</f>
        <v>0.19840732604555272</v>
      </c>
    </row>
    <row r="23" spans="1:9" ht="17.649999999999999" thickBot="1" x14ac:dyDescent="0.4">
      <c r="A23" s="612"/>
      <c r="B23" s="68" t="s">
        <v>10</v>
      </c>
      <c r="C23" s="63" t="s">
        <v>65</v>
      </c>
      <c r="D23" s="73">
        <f>'IIa. Balances de Potencia'!$C$12/SUM('IIa. Balances de Potencia'!$C$12:$G$12)*D18+'IIa. Balances de Potencia'!$D$12/SUM('IIa. Balances de Potencia'!$C$12:$G$12)*D14+'IIa. Balances de Potencia'!$E$12/SUM('IIa. Balances de Potencia'!$C$12:$G$12)*D11+'IIa. Balances de Potencia'!$F$12/SUM('IIa. Balances de Potencia'!$C$12:$G$12)</f>
        <v>0.61875929453672363</v>
      </c>
      <c r="E23" s="73">
        <f>'IIa. Balances de Potencia'!$C$23/SUM('IIa. Balances de Potencia'!$C$23:$G$23)*E18+'IIa. Balances de Potencia'!$D$23/SUM('IIa. Balances de Potencia'!$C$23:$G$23)*E14+'IIa. Balances de Potencia'!$E$23/SUM('IIa. Balances de Potencia'!$C$23:$G$23)*E11+'IIa. Balances de Potencia'!$F$23/SUM('IIa. Balances de Potencia'!$C$23:$G$23)</f>
        <v>0.59915924487872996</v>
      </c>
      <c r="F23" s="73">
        <f>'IIa. Balances de Potencia'!$C$34/SUM('IIa. Balances de Potencia'!$C$34:$G$34)*F18+'IIa. Balances de Potencia'!$D$34/SUM('IIa. Balances de Potencia'!$C$34:$G$34)*F14+'IIa. Balances de Potencia'!$E$34/SUM('IIa. Balances de Potencia'!$C$34:$G$34)*F11+'IIa. Balances de Potencia'!$F$34/SUM('IIa. Balances de Potencia'!$C$34:$G$34)</f>
        <v>0.58176168428818686</v>
      </c>
      <c r="G23" s="73">
        <f>'IIa. Balances de Potencia'!$C$45/SUM('IIa. Balances de Potencia'!$C$45:$G$45)*G18+'IIa. Balances de Potencia'!$D$45/SUM('IIa. Balances de Potencia'!$C$45:$G$45)*G14+'IIa. Balances de Potencia'!$E$45/SUM('IIa. Balances de Potencia'!$C$45:$G$45)*G11+'IIa. Balances de Potencia'!$F$45/SUM('IIa. Balances de Potencia'!$C$45:$G$45)</f>
        <v>0.54133940201022734</v>
      </c>
      <c r="H23" s="73">
        <f>'IIa. Balances de Potencia'!$C$56/SUM('IIa. Balances de Potencia'!$C$56:$G$56)*H18+'IIa. Balances de Potencia'!$D$56/SUM('IIa. Balances de Potencia'!$C$56:$G$56)*H14+'IIa. Balances de Potencia'!$E$56/SUM('IIa. Balances de Potencia'!$C$56:$G$56)*H11+'IIa. Balances de Potencia'!$F$56/SUM('IIa. Balances de Potencia'!$C$56:$G$56)</f>
        <v>0.47039285755055693</v>
      </c>
      <c r="I23" s="79">
        <f>'IIa. Balances de Potencia'!$C$67/SUM('IIa. Balances de Potencia'!$C$67:$G$67)*I18+'IIa. Balances de Potencia'!$D$67/SUM('IIa. Balances de Potencia'!$C$67:$G$67)*I14+'IIa. Balances de Potencia'!$E$67/SUM('IIa. Balances de Potencia'!$C$67:$G$67)*I11+'IIa. Balances de Potencia'!$F$67/SUM('IIa. Balances de Potencia'!$C$67:$G$67)</f>
        <v>0.63127263911111264</v>
      </c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headerFooter>
    <oddFooter>&amp;C_x000D_&amp;1#&amp;"Calibri"&amp;10&amp;K000000 INTERNA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2474-D165-4973-98A8-B3B11167D3D2}">
  <dimension ref="A1:I25"/>
  <sheetViews>
    <sheetView showGridLines="0" workbookViewId="0">
      <selection activeCell="O10" sqref="O10"/>
    </sheetView>
  </sheetViews>
  <sheetFormatPr baseColWidth="10" defaultRowHeight="12.75" x14ac:dyDescent="0.35"/>
  <cols>
    <col min="1" max="1" width="14.1328125" customWidth="1"/>
    <col min="2" max="2" width="11.3984375" customWidth="1"/>
    <col min="3" max="3" width="13.3984375" customWidth="1"/>
  </cols>
  <sheetData>
    <row r="1" spans="1:9" s="1" customFormat="1" x14ac:dyDescent="0.35"/>
    <row r="2" spans="1:9" s="1" customFormat="1" x14ac:dyDescent="0.35"/>
    <row r="3" spans="1:9" s="1" customFormat="1" x14ac:dyDescent="0.35"/>
    <row r="4" spans="1:9" s="1" customFormat="1" x14ac:dyDescent="0.35"/>
    <row r="5" spans="1:9" s="1" customFormat="1" x14ac:dyDescent="0.35"/>
    <row r="6" spans="1:9" s="4" customFormat="1" ht="63.75" customHeight="1" x14ac:dyDescent="0.35">
      <c r="A6" s="613" t="s">
        <v>183</v>
      </c>
      <c r="B6" s="613"/>
      <c r="C6" s="613"/>
      <c r="D6" s="613"/>
      <c r="E6" s="613"/>
      <c r="F6" s="613"/>
      <c r="G6" s="613"/>
      <c r="H6" s="613"/>
      <c r="I6" s="613"/>
    </row>
    <row r="7" spans="1:9" ht="13.15" thickBot="1" x14ac:dyDescent="0.4"/>
    <row r="8" spans="1:9" ht="25.5" x14ac:dyDescent="0.35">
      <c r="A8" s="57" t="s">
        <v>50</v>
      </c>
      <c r="B8" s="64" t="s">
        <v>66</v>
      </c>
      <c r="C8" s="58" t="s">
        <v>49</v>
      </c>
      <c r="D8" s="64" t="s">
        <v>15</v>
      </c>
      <c r="E8" s="64" t="s">
        <v>16</v>
      </c>
      <c r="F8" s="64" t="s">
        <v>17</v>
      </c>
      <c r="G8" s="64" t="s">
        <v>18</v>
      </c>
      <c r="H8" s="64" t="s">
        <v>19</v>
      </c>
      <c r="I8" s="69" t="s">
        <v>20</v>
      </c>
    </row>
    <row r="9" spans="1:9" ht="18" x14ac:dyDescent="0.35">
      <c r="A9" s="59" t="s">
        <v>10</v>
      </c>
      <c r="B9" s="65" t="s">
        <v>10</v>
      </c>
      <c r="C9" s="60" t="s">
        <v>51</v>
      </c>
      <c r="D9" s="70">
        <v>1</v>
      </c>
      <c r="E9" s="70">
        <v>1</v>
      </c>
      <c r="F9" s="70">
        <v>1</v>
      </c>
      <c r="G9" s="70">
        <v>1</v>
      </c>
      <c r="H9" s="70">
        <v>1</v>
      </c>
      <c r="I9" s="76">
        <v>1</v>
      </c>
    </row>
    <row r="10" spans="1:9" ht="18" x14ac:dyDescent="0.35">
      <c r="A10" s="609" t="s">
        <v>11</v>
      </c>
      <c r="B10" s="66" t="s">
        <v>11</v>
      </c>
      <c r="C10" s="61" t="s">
        <v>52</v>
      </c>
      <c r="D10" s="71">
        <f>'IIb. Balances de energía'!$G$15/('IIb. Balances de energía'!$F$15+'IIb. Balances de energía'!$G$15)</f>
        <v>0.34523259034634007</v>
      </c>
      <c r="E10" s="71">
        <f>'IIb. Balances de energía'!$G$26/('IIb. Balances de energía'!$F$26+'IIb. Balances de energía'!$G$26)</f>
        <v>0.35653379356954296</v>
      </c>
      <c r="F10" s="71">
        <f>'IIb. Balances de energía'!$G$37/('IIb. Balances de energía'!$F$37+'IIb. Balances de energía'!$G$37)</f>
        <v>0.39427339522232646</v>
      </c>
      <c r="G10" s="71">
        <f>'IIb. Balances de energía'!$G$48/('IIb. Balances de energía'!$F$48+'IIb. Balances de energía'!$G$48)</f>
        <v>0.4018160268041065</v>
      </c>
      <c r="H10" s="71">
        <f>'IIb. Balances de energía'!$G$59/('IIb. Balances de energía'!$F$59+'IIb. Balances de energía'!$G$59)</f>
        <v>0.41512137192497539</v>
      </c>
      <c r="I10" s="77">
        <f>'IIb. Balances de energía'!$G$70/('IIb. Balances de energía'!$F$70+'IIb. Balances de energía'!$G$70)</f>
        <v>0.37206806949404425</v>
      </c>
    </row>
    <row r="11" spans="1:9" ht="18" x14ac:dyDescent="0.35">
      <c r="A11" s="610"/>
      <c r="B11" s="67" t="s">
        <v>10</v>
      </c>
      <c r="C11" s="62" t="s">
        <v>53</v>
      </c>
      <c r="D11" s="72">
        <f>'IIb. Balances de energía'!$F$15/('IIb. Balances de energía'!$F$15+'IIb. Balances de energía'!$G$15)</f>
        <v>0.65476740965365998</v>
      </c>
      <c r="E11" s="72">
        <f>'IIb. Balances de energía'!$F$26/('IIb. Balances de energía'!$F$26+'IIb. Balances de energía'!$G$26)</f>
        <v>0.64346620643045704</v>
      </c>
      <c r="F11" s="72">
        <f>'IIb. Balances de energía'!$F$37/('IIb. Balances de energía'!$F$37+'IIb. Balances de energía'!$G$37)</f>
        <v>0.60572660477767359</v>
      </c>
      <c r="G11" s="72">
        <f>'IIb. Balances de energía'!$F$48/('IIb. Balances de energía'!$F$48+'IIb. Balances de energía'!$G$48)</f>
        <v>0.59818397319589345</v>
      </c>
      <c r="H11" s="72">
        <f>'IIb. Balances de energía'!$F$59/('IIb. Balances de energía'!$F$59+'IIb. Balances de energía'!$G$59)</f>
        <v>0.58487862807502455</v>
      </c>
      <c r="I11" s="78">
        <f>'IIb. Balances de energía'!$F$70/('IIb. Balances de energía'!$F$70+'IIb. Balances de energía'!$G$70)</f>
        <v>0.62793193050595575</v>
      </c>
    </row>
    <row r="12" spans="1:9" ht="17.25" x14ac:dyDescent="0.35">
      <c r="A12" s="609" t="s">
        <v>12</v>
      </c>
      <c r="B12" s="66" t="s">
        <v>12</v>
      </c>
      <c r="C12" s="61" t="s">
        <v>54</v>
      </c>
      <c r="D12" s="71">
        <f>'IIb. Balances de energía'!$G$14/SUM('IIb. Balances de energía'!$E$14:$G$14)</f>
        <v>0.18675703994849899</v>
      </c>
      <c r="E12" s="71">
        <f>'IIb. Balances de energía'!$G$25/SUM('IIb. Balances de energía'!$E$25:$G$25)</f>
        <v>0.20285743032304951</v>
      </c>
      <c r="F12" s="71">
        <f>'IIb. Balances de energía'!$G$36/SUM('IIb. Balances de energía'!$E$36:$G$36)</f>
        <v>0.21619000759565749</v>
      </c>
      <c r="G12" s="71">
        <f>'IIb. Balances de energía'!$G$47/SUM('IIb. Balances de energía'!$E$47:$G$47)</f>
        <v>0.22355422092410396</v>
      </c>
      <c r="H12" s="71">
        <f>'IIb. Balances de energía'!$G$58/SUM('IIb. Balances de energía'!$E$58:$G$58)</f>
        <v>0.23795367336650738</v>
      </c>
      <c r="I12" s="77">
        <f>'IIb. Balances de energía'!$G$69/SUM('IIb. Balances de energía'!$E$69:$G$69)</f>
        <v>0.22630595173683651</v>
      </c>
    </row>
    <row r="13" spans="1:9" ht="17.25" x14ac:dyDescent="0.35">
      <c r="A13" s="611"/>
      <c r="B13" s="66" t="s">
        <v>11</v>
      </c>
      <c r="C13" s="61" t="s">
        <v>55</v>
      </c>
      <c r="D13" s="71">
        <f>'IIb. Balances de energía'!$E$14/SUM('IIb. Balances de energía'!$E$14:$G$14)*D10</f>
        <v>0.2806922170931811</v>
      </c>
      <c r="E13" s="71">
        <f>'IIb. Balances de energía'!$E$25/SUM('IIb. Balances de energía'!$E$25:$G$25)*E10</f>
        <v>0.28414207333729513</v>
      </c>
      <c r="F13" s="71">
        <f>'IIb. Balances de energía'!$E$36/SUM('IIb. Balances de energía'!$E$36:$G$36)*F10</f>
        <v>0.30896063950271196</v>
      </c>
      <c r="G13" s="71">
        <f>'IIb. Balances de energía'!$E$47/SUM('IIb. Balances de energía'!$E$47:$G$47)*G10</f>
        <v>0.311912554751407</v>
      </c>
      <c r="H13" s="71">
        <f>'IIb. Balances de energía'!$E$58/SUM('IIb. Balances de energía'!$E$58:$G$58)*H10</f>
        <v>0.3162669062607521</v>
      </c>
      <c r="I13" s="77">
        <f>'IIb. Balances de energía'!$E$69/SUM('IIb. Balances de energía'!$E$69:$G$69)*I10</f>
        <v>0.28780184578768142</v>
      </c>
    </row>
    <row r="14" spans="1:9" ht="17.25" x14ac:dyDescent="0.35">
      <c r="A14" s="610"/>
      <c r="B14" s="67" t="s">
        <v>10</v>
      </c>
      <c r="C14" s="62" t="s">
        <v>56</v>
      </c>
      <c r="D14" s="72">
        <f>'IIb. Balances de energía'!$F$14/SUM('IIb. Balances de energía'!$E$14:$G$14)+'IIb. Balances de energía'!$E$14/SUM('IIb. Balances de energía'!$E$14:$G$14)*D11</f>
        <v>0.53255074295831994</v>
      </c>
      <c r="E14" s="72">
        <f>'IIb. Balances de energía'!$F$25/SUM('IIb. Balances de energía'!$E$25:$G$25)+'IIb. Balances de energía'!$E$25/SUM('IIb. Balances de energía'!$E$25:$G$25)*E11</f>
        <v>0.51300049633965539</v>
      </c>
      <c r="F14" s="72">
        <f>'IIb. Balances de energía'!$F$36/SUM('IIb. Balances de energía'!$E$36:$G$36)+'IIb. Balances de energía'!$E$36/SUM('IIb. Balances de energía'!$E$36:$G$36)*F11</f>
        <v>0.47484935290163061</v>
      </c>
      <c r="G14" s="72">
        <f>'IIb. Balances de energía'!$F$47/SUM('IIb. Balances de energía'!$E$47:$G$47)+'IIb. Balances de energía'!$E$47/SUM('IIb. Balances de energía'!$E$47:$G$47)*G11</f>
        <v>0.46453322432448907</v>
      </c>
      <c r="H14" s="72">
        <f>'IIb. Balances de energía'!$F$58/SUM('IIb. Balances de energía'!$E$58:$G$58)+'IIb. Balances de energía'!$E$58/SUM('IIb. Balances de energía'!$E$58:$G$58)*H11</f>
        <v>0.44577942037274054</v>
      </c>
      <c r="I14" s="78">
        <f>'IIb. Balances de energía'!$F$69/SUM('IIb. Balances de energía'!$E$69:$G$69)+'IIb. Balances de energía'!$E$69/SUM('IIb. Balances de energía'!$E$69:$G$69)*I11</f>
        <v>0.48589220247548193</v>
      </c>
    </row>
    <row r="15" spans="1:9" ht="17.25" x14ac:dyDescent="0.35">
      <c r="A15" s="609" t="s">
        <v>13</v>
      </c>
      <c r="B15" s="66" t="s">
        <v>13</v>
      </c>
      <c r="C15" s="61" t="s">
        <v>57</v>
      </c>
      <c r="D15" s="71">
        <f>'IIb. Balances de energía'!$G$13/SUM('IIb. Balances de energía'!$C$13:$G$13)</f>
        <v>7.574105675656384E-2</v>
      </c>
      <c r="E15" s="71">
        <f>'IIb. Balances de energía'!$G$24/SUM('IIb. Balances de energía'!$C$24:$G$24)</f>
        <v>8.4633942119138911E-2</v>
      </c>
      <c r="F15" s="71">
        <f>'IIb. Balances de energía'!$G$35/SUM('IIb. Balances de energía'!$C$35:$G$35)</f>
        <v>9.4002237792910795E-2</v>
      </c>
      <c r="G15" s="71">
        <f>'IIb. Balances de energía'!$G$46/SUM('IIb. Balances de energía'!$C$46:$G$46)</f>
        <v>9.9700001952753706E-2</v>
      </c>
      <c r="H15" s="71">
        <f>'IIb. Balances de energía'!$G$57/SUM('IIb. Balances de energía'!$C$57:$G$57)</f>
        <v>0.10958836802713473</v>
      </c>
      <c r="I15" s="77">
        <f>'IIb. Balances de energía'!$G$68/SUM('IIb. Balances de energía'!$C$68:$G$68)</f>
        <v>0.11318197062225552</v>
      </c>
    </row>
    <row r="16" spans="1:9" ht="17.25" x14ac:dyDescent="0.35">
      <c r="A16" s="611"/>
      <c r="B16" s="66" t="s">
        <v>12</v>
      </c>
      <c r="C16" s="61" t="s">
        <v>58</v>
      </c>
      <c r="D16" s="71">
        <f>'IIb. Balances de energía'!$D$13/SUM('IIb. Balances de energía'!$C$13:$G$13)*$D$12</f>
        <v>5.5194972465786002E-2</v>
      </c>
      <c r="E16" s="71">
        <f>'IIb. Balances de energía'!$D$24/SUM('IIb. Balances de energía'!$C$24:$G$24)*$E$12</f>
        <v>6.0660983370689925E-2</v>
      </c>
      <c r="F16" s="71">
        <f>'IIb. Balances de energía'!$D$35/SUM('IIb. Balances de energía'!$C$35:$G$35)*$F$12</f>
        <v>6.4122417836647697E-2</v>
      </c>
      <c r="G16" s="71">
        <f>'IIb. Balances de energía'!$D$46/SUM('IIb. Balances de energía'!$C$46:$G$46)*$G$12</f>
        <v>6.5961574013830626E-2</v>
      </c>
      <c r="H16" s="71">
        <f>'IIb. Balances de energía'!$D$57/SUM('IIb. Balances de energía'!$C$57:$G$57)*$H$12</f>
        <v>7.0680718535518494E-2</v>
      </c>
      <c r="I16" s="77">
        <f>'IIb. Balances de energía'!$D$68/SUM('IIb. Balances de energía'!$C$68:$G$68)*$I$12</f>
        <v>6.6903773074089692E-2</v>
      </c>
    </row>
    <row r="17" spans="1:9" ht="17.25" x14ac:dyDescent="0.35">
      <c r="A17" s="611"/>
      <c r="B17" s="66" t="s">
        <v>11</v>
      </c>
      <c r="C17" s="61" t="s">
        <v>59</v>
      </c>
      <c r="D17" s="71">
        <f>'IIb. Balances de energía'!$E$13/SUM('IIb. Balances de energía'!$C$13:$G$13)*$D$10+'IIb. Balances de energía'!$D$13/SUM('IIb. Balances de energía'!$C$13:$G$13)*$D$13</f>
        <v>0.30000977182614319</v>
      </c>
      <c r="E17" s="71">
        <f>'IIb. Balances de energía'!$E$24/SUM('IIb. Balances de energía'!$C$24:$G$24)*$E$10+'IIb. Balances de energía'!$D$24/SUM('IIb. Balances de energía'!$C$24:$G$24)*$E$13</f>
        <v>0.30471144931831945</v>
      </c>
      <c r="F17" s="71">
        <f>'IIb. Balances de energía'!$E$35/SUM('IIb. Balances de energía'!$C$35:$G$35)*$F$10+'IIb. Balances de energía'!$D$35/SUM('IIb. Balances de energía'!$C$35:$G$35)*$F$13</f>
        <v>0.33190686827290156</v>
      </c>
      <c r="G17" s="71">
        <f>'IIb. Balances de energía'!$E$46/SUM('IIb. Balances de energía'!$C$46:$G$46)*$G$10+'IIb. Balances de energía'!$D$46/SUM('IIb. Balances de energía'!$C$46:$G$46)*$G$13</f>
        <v>0.3352281841687284</v>
      </c>
      <c r="H17" s="71">
        <f>'IIb. Balances de energía'!$E$57/SUM('IIb. Balances de energía'!$C$57:$G$57)*$H$10+'IIb. Balances de energía'!$D$57/SUM('IIb. Balances de energía'!$C$57:$G$57)*$H$13</f>
        <v>0.34026560006461248</v>
      </c>
      <c r="I17" s="77">
        <f>'IIb. Balances de energía'!$E$68/SUM('IIb. Balances de energía'!$C$68:$G$68)*$I$10+'IIb. Balances de energía'!$D$68/SUM('IIb. Balances de energía'!$C$68:$G$68)*$I$13</f>
        <v>0.30504469675604995</v>
      </c>
    </row>
    <row r="18" spans="1:9" ht="15.75" x14ac:dyDescent="0.35">
      <c r="A18" s="610"/>
      <c r="B18" s="67" t="s">
        <v>10</v>
      </c>
      <c r="C18" s="62" t="s">
        <v>60</v>
      </c>
      <c r="D18" s="72">
        <f>'IIb. Balances de energía'!$F$13/SUM('IIb. Balances de energía'!$C$13:$G$13)+'IIb. Balances de energía'!$D$13/SUM('IIb. Balances de energía'!$C$13:$G$13)*$D$14+'IIb. Balances de energía'!$E$13/SUM('IIb. Balances de energía'!$C$13:$G$13)*$D$11</f>
        <v>0.569054198951507</v>
      </c>
      <c r="E18" s="72">
        <f>'IIb. Balances de energía'!$F$24/SUM('IIb. Balances de energía'!$C$24:$G$24)+'IIb. Balances de energía'!$D$24/SUM('IIb. Balances de energía'!$C$24:$G$24)*$E$14+'IIb. Balances de energía'!$E$24/SUM('IIb. Balances de energía'!$C$24:$G$24)*$E$11</f>
        <v>0.54999362519185158</v>
      </c>
      <c r="F18" s="72">
        <f>'IIb. Balances de energía'!$F$35/SUM('IIb. Balances de energía'!$C$35:$G$35)+'IIb. Balances de energía'!$D$35/SUM('IIb. Balances de energía'!$C$35:$G$35)*$F$14+'IIb. Balances de energía'!$E$35/SUM('IIb. Balances de energía'!$C$35:$G$35)*$F$11</f>
        <v>0.50996847609754004</v>
      </c>
      <c r="G18" s="72">
        <f>'IIb. Balances de energía'!$F$46/SUM('IIb. Balances de energía'!$C$46:$G$46)+'IIb. Balances de energía'!$D$46/SUM('IIb. Balances de energía'!$C$46:$G$46)*$G$14+'IIb. Balances de energía'!$E$46/SUM('IIb. Balances de energía'!$C$46:$G$46)*$G$11</f>
        <v>0.49911023986468733</v>
      </c>
      <c r="H18" s="72">
        <f>'IIb. Balances de energía'!$F$57/SUM('IIb. Balances de energía'!$C$57:$G$57)+'IIb. Balances de energía'!$D$57/SUM('IIb. Balances de energía'!$C$57:$G$57)*$H$14+'IIb. Balances de energía'!$E$57/SUM('IIb. Balances de energía'!$C$57:$G$57)*$H$11</f>
        <v>0.47946531337273418</v>
      </c>
      <c r="I18" s="78">
        <f>'IIb. Balances de energía'!$F$68/SUM('IIb. Balances de energía'!$C$68:$G$68)+'IIb. Balances de energía'!$D$68/SUM('IIb. Balances de energía'!$C$68:$G$68)*$I$14+'IIb. Balances de energía'!$E$68/SUM('IIb. Balances de energía'!$C$68:$G$68)*$I$11</f>
        <v>0.51486955954760472</v>
      </c>
    </row>
    <row r="19" spans="1:9" ht="17.25" x14ac:dyDescent="0.35">
      <c r="A19" s="609" t="s">
        <v>14</v>
      </c>
      <c r="B19" s="66" t="s">
        <v>14</v>
      </c>
      <c r="C19" s="61" t="s">
        <v>61</v>
      </c>
      <c r="D19" s="71">
        <f>'IIb. Balances de energía'!$G$12/SUM('IIb. Balances de energía'!$C$12:$G$12)</f>
        <v>7.5684384294395113E-2</v>
      </c>
      <c r="E19" s="71">
        <f>'IIb. Balances de energía'!$G$23/SUM('IIb. Balances de energía'!$C$23:$G$23)</f>
        <v>8.7214757844223612E-2</v>
      </c>
      <c r="F19" s="71">
        <f>'IIb. Balances de energía'!$G$34/SUM('IIb. Balances de energía'!$C$34:$G$34)</f>
        <v>9.7385513919882635E-2</v>
      </c>
      <c r="G19" s="71">
        <f>'IIb. Balances de energía'!$G$45/SUM('IIb. Balances de energía'!$C$45:$G$45)</f>
        <v>0.10301347932903243</v>
      </c>
      <c r="H19" s="71">
        <f>'IIb. Balances de energía'!$G$56/SUM('IIb. Balances de energía'!$C$56:$G$56)</f>
        <v>0.11813891150317064</v>
      </c>
      <c r="I19" s="77">
        <f>'IIb. Balances de energía'!$G$67/SUM('IIb. Balances de energía'!$C$67:$G$67)</f>
        <v>0.1213872503364138</v>
      </c>
    </row>
    <row r="20" spans="1:9" ht="17.25" x14ac:dyDescent="0.35">
      <c r="A20" s="611"/>
      <c r="B20" s="66" t="s">
        <v>13</v>
      </c>
      <c r="C20" s="61" t="s">
        <v>62</v>
      </c>
      <c r="D20" s="71">
        <f>'IIb. Balances de energía'!$C$12/SUM('IIb. Balances de energía'!$C$12:$G$12)*D15</f>
        <v>3.2162634875919596E-2</v>
      </c>
      <c r="E20" s="71">
        <f>'IIb. Balances de energía'!$C$23/SUM('IIb. Balances de energía'!$C$23:$G$23)*E15</f>
        <v>3.5078313742062502E-2</v>
      </c>
      <c r="F20" s="71">
        <f>'IIb. Balances de energía'!$C$34/SUM('IIb. Balances de energía'!$C$34:$G$34)*F15</f>
        <v>3.8838935194876842E-2</v>
      </c>
      <c r="G20" s="71">
        <f>'IIb. Balances de energía'!$C$45/SUM('IIb. Balances de energía'!$C$45:$G$45)*G15</f>
        <v>4.0986620664953552E-2</v>
      </c>
      <c r="H20" s="71">
        <f>'IIb. Balances de energía'!$C$56/SUM('IIb. Balances de energía'!$C$56:$G$56)*H15</f>
        <v>4.3816304814353564E-2</v>
      </c>
      <c r="I20" s="77">
        <f>'IIb. Balances de energía'!$C$67/SUM('IIb. Balances de energía'!$C$67:$G$67)*I15</f>
        <v>4.6920267724731179E-2</v>
      </c>
    </row>
    <row r="21" spans="1:9" ht="17.25" x14ac:dyDescent="0.35">
      <c r="A21" s="611"/>
      <c r="B21" s="66" t="s">
        <v>12</v>
      </c>
      <c r="C21" s="61" t="s">
        <v>63</v>
      </c>
      <c r="D21" s="71">
        <f>'IIb. Balances de energía'!$D$12/SUM('IIb. Balances de energía'!$C$12:$G$12)*D12+'IIb. Balances de energía'!$C$12/SUM('IIb. Balances de energía'!$C$12:$G$12)*D16</f>
        <v>7.1768064521209984E-2</v>
      </c>
      <c r="E21" s="71">
        <f>'IIb. Balances de energía'!$D$23/SUM('IIb. Balances de energía'!$C$23:$G$23)*E12+'IIb. Balances de energía'!$C$23/SUM('IIb. Balances de energía'!$C$23:$G$23)*E16</f>
        <v>7.7280380685423228E-2</v>
      </c>
      <c r="F21" s="71">
        <f>'IIb. Balances de energía'!$D$34/SUM('IIb. Balances de energía'!$C$34:$G$34)*F12+'IIb. Balances de energía'!$C$34/SUM('IIb. Balances de energía'!$C$34:$G$34)*F16</f>
        <v>8.1058929886925105E-2</v>
      </c>
      <c r="G21" s="71">
        <f>'IIb. Balances de energía'!$D$45/SUM('IIb. Balances de energía'!$C$45:$G$45)*G12+'IIb. Balances de energía'!$C$45/SUM('IIb. Balances de energía'!$C$45:$G$45)*G16</f>
        <v>8.2876480618402498E-2</v>
      </c>
      <c r="H21" s="71">
        <f>'IIb. Balances de energía'!$D$56/SUM('IIb. Balances de energía'!$C$56:$G$56)*H12+'IIb. Balances de energía'!$C$56/SUM('IIb. Balances de energía'!$C$56:$G$56)*H16</f>
        <v>8.6522282313083787E-2</v>
      </c>
      <c r="I21" s="77">
        <f>'IIb. Balances de energía'!$D$67/SUM('IIb. Balances de energía'!$C$67:$G$67)*I12+'IIb. Balances de energía'!$C$67/SUM('IIb. Balances de energía'!$C$67:$G$67)*I16</f>
        <v>8.2428404398096067E-2</v>
      </c>
    </row>
    <row r="22" spans="1:9" ht="17.25" x14ac:dyDescent="0.35">
      <c r="A22" s="611"/>
      <c r="B22" s="66" t="s">
        <v>11</v>
      </c>
      <c r="C22" s="61" t="s">
        <v>64</v>
      </c>
      <c r="D22" s="71">
        <f>'IIb. Balances de energía'!$C$12/SUM('IIb. Balances de energía'!$C$12:$G$12)*D17+'IIb. Balances de energía'!$D$12/SUM('IIb. Balances de energía'!$C$12:$G$12)*D13+'IIb. Balances de energía'!$E$12/SUM('IIb. Balances de energía'!$C$12:$G$12)*D10</f>
        <v>0.28319834042078229</v>
      </c>
      <c r="E22" s="71">
        <f>'IIb. Balances de energía'!$C$23/SUM('IIb. Balances de energía'!$C$23:$G$23)*E17+'IIb. Balances de energía'!$D$23/SUM('IIb. Balances de energía'!$C$23:$G$23)*E13+'IIb. Balances de energía'!$E$23/SUM('IIb. Balances de energía'!$C$23:$G$23)*E10</f>
        <v>0.28535389745536494</v>
      </c>
      <c r="F22" s="71">
        <f>'IIb. Balances de energía'!$C$34/SUM('IIb. Balances de energía'!$C$34:$G$34)*F17+'IIb. Balances de energía'!$D$34/SUM('IIb. Balances de energía'!$C$34:$G$34)*F13+'IIb. Balances de energía'!$E$34/SUM('IIb. Balances de energía'!$C$34:$G$34)*F10</f>
        <v>0.30857629864148028</v>
      </c>
      <c r="G22" s="71">
        <f>'IIb. Balances de energía'!$C$45/SUM('IIb. Balances de energía'!$C$45:$G$45)*G17+'IIb. Balances de energía'!$D$45/SUM('IIb. Balances de energía'!$C$45:$G$45)*G13+'IIb. Balances de energía'!$E$45/SUM('IIb. Balances de energía'!$C$45:$G$45)*G10</f>
        <v>0.31062527867978512</v>
      </c>
      <c r="H22" s="71">
        <f>'IIb. Balances de energía'!$C$56/SUM('IIb. Balances de energía'!$C$56:$G$56)*H17+'IIb. Balances de energía'!$D$56/SUM('IIb. Balances de energía'!$C$56:$G$56)*H13+'IIb. Balances de energía'!$E$56/SUM('IIb. Balances de energía'!$C$56:$G$56)*H10</f>
        <v>0.31194585003648506</v>
      </c>
      <c r="I22" s="77">
        <f>'IIb. Balances de energía'!$C$67/SUM('IIb. Balances de energía'!$C$67:$G$67)*I17+'IIb. Balances de energía'!$D$67/SUM('IIb. Balances de energía'!$C$67:$G$67)*I13+'IIb. Balances de energía'!$E$67/SUM('IIb. Balances de energía'!$C$67:$G$67)*I10</f>
        <v>0.27875356177014499</v>
      </c>
    </row>
    <row r="23" spans="1:9" ht="17.649999999999999" thickBot="1" x14ac:dyDescent="0.4">
      <c r="A23" s="612"/>
      <c r="B23" s="68" t="s">
        <v>10</v>
      </c>
      <c r="C23" s="63" t="s">
        <v>65</v>
      </c>
      <c r="D23" s="73">
        <f>'IIb. Balances de energía'!$C$12/SUM('IIb. Balances de energía'!$C$12:$G$12)*D18+'IIb. Balances de energía'!$D$12/SUM('IIb. Balances de energía'!$C$12:$G$12)*D14+'IIb. Balances de energía'!$E$12/SUM('IIb. Balances de energía'!$C$12:$G$12)*D11+'IIb. Balances de energía'!$F$12/SUM('IIb. Balances de energía'!$C$12:$G$12)</f>
        <v>0.53718657588769292</v>
      </c>
      <c r="E23" s="73">
        <f>'IIb. Balances de energía'!$C$23/SUM('IIb. Balances de energía'!$C$23:$G$23)*E18+'IIb. Balances de energía'!$D$23/SUM('IIb. Balances de energía'!$C$23:$G$23)*E14+'IIb. Balances de energía'!$E$23/SUM('IIb. Balances de energía'!$C$23:$G$23)*E11+'IIb. Balances de energía'!$F$23/SUM('IIb. Balances de energía'!$C$23:$G$23)</f>
        <v>0.51507265027292548</v>
      </c>
      <c r="F23" s="73">
        <f>'IIb. Balances de energía'!$C$34/SUM('IIb. Balances de energía'!$C$34:$G$34)*F18+'IIb. Balances de energía'!$D$34/SUM('IIb. Balances de energía'!$C$34:$G$34)*F14+'IIb. Balances de energía'!$E$34/SUM('IIb. Balances de energía'!$C$34:$G$34)*F11+'IIb. Balances de energía'!$F$34/SUM('IIb. Balances de energía'!$C$34:$G$34)</f>
        <v>0.47414032235683529</v>
      </c>
      <c r="G23" s="73">
        <f>'IIb. Balances de energía'!$C$45/SUM('IIb. Balances de energía'!$C$45:$G$45)*G18+'IIb. Balances de energía'!$D$45/SUM('IIb. Balances de energía'!$C$45:$G$45)*G14+'IIb. Balances de energía'!$E$45/SUM('IIb. Balances de energía'!$C$45:$G$45)*G11+'IIb. Balances de energía'!$F$45/SUM('IIb. Balances de energía'!$C$45:$G$45)</f>
        <v>0.46249814070782647</v>
      </c>
      <c r="H23" s="73">
        <f>'IIb. Balances de energía'!$C$56/SUM('IIb. Balances de energía'!$C$56:$G$56)*H18+'IIb. Balances de energía'!$D$56/SUM('IIb. Balances de energía'!$C$56:$G$56)*H14+'IIb. Balances de energía'!$E$56/SUM('IIb. Balances de energía'!$C$56:$G$56)*H11+'IIb. Balances de energía'!$F$56/SUM('IIb. Balances de energía'!$C$56:$G$56)</f>
        <v>0.43957665133290691</v>
      </c>
      <c r="I23" s="79">
        <f>'IIb. Balances de energía'!$C$67/SUM('IIb. Balances de energía'!$C$67:$G$67)*I18+'IIb. Balances de energía'!$D$67/SUM('IIb. Balances de energía'!$C$67:$G$67)*I14+'IIb. Balances de energía'!$E$67/SUM('IIb. Balances de energía'!$C$67:$G$67)*I11+'IIb. Balances de energía'!$F$67/SUM('IIb. Balances de energía'!$C$67:$G$67)</f>
        <v>0.47051051577061398</v>
      </c>
    </row>
    <row r="25" spans="1:9" x14ac:dyDescent="0.35">
      <c r="D25" s="75"/>
      <c r="E25" s="75"/>
      <c r="F25" s="75"/>
      <c r="G25" s="75"/>
      <c r="H25" s="75"/>
      <c r="I25" s="75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headerFooter>
    <oddFooter>&amp;C_x000D_&amp;1#&amp;"Calibri"&amp;10&amp;K000000 INTERNA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A9C7-2986-4A45-BE89-EF699B2399DF}">
  <dimension ref="A1:R99"/>
  <sheetViews>
    <sheetView showGridLines="0" workbookViewId="0"/>
  </sheetViews>
  <sheetFormatPr baseColWidth="10" defaultColWidth="11.3984375" defaultRowHeight="12.75" x14ac:dyDescent="0.35"/>
  <cols>
    <col min="1" max="1" width="13.86328125" style="80" customWidth="1"/>
    <col min="2" max="8" width="13.73046875" style="80" customWidth="1"/>
    <col min="9" max="9" width="11.86328125" style="80" bestFit="1" customWidth="1"/>
    <col min="10" max="10" width="13.86328125" style="80" bestFit="1" customWidth="1"/>
    <col min="11" max="11" width="11.3984375" style="80"/>
    <col min="12" max="12" width="11.86328125" style="80" bestFit="1" customWidth="1"/>
    <col min="13" max="16384" width="11.3984375" style="80"/>
  </cols>
  <sheetData>
    <row r="1" spans="1:10" s="1" customFormat="1" x14ac:dyDescent="0.35"/>
    <row r="2" spans="1:10" s="1" customFormat="1" x14ac:dyDescent="0.35"/>
    <row r="3" spans="1:10" s="1" customFormat="1" x14ac:dyDescent="0.35"/>
    <row r="4" spans="1:10" s="1" customFormat="1" x14ac:dyDescent="0.35"/>
    <row r="5" spans="1:10" s="1" customFormat="1" x14ac:dyDescent="0.35"/>
    <row r="6" spans="1:10" s="366" customFormat="1" ht="30" customHeight="1" x14ac:dyDescent="0.35">
      <c r="A6" s="366" t="s">
        <v>184</v>
      </c>
    </row>
    <row r="7" spans="1:10" ht="7.5" customHeight="1" thickBot="1" x14ac:dyDescent="0.4"/>
    <row r="8" spans="1:10" ht="24" customHeight="1" x14ac:dyDescent="0.35">
      <c r="D8" s="90" t="s">
        <v>24</v>
      </c>
      <c r="E8" s="92" t="s">
        <v>79</v>
      </c>
      <c r="F8" s="93"/>
      <c r="G8" s="93"/>
      <c r="H8" s="94"/>
      <c r="J8" s="614" t="s">
        <v>88</v>
      </c>
    </row>
    <row r="9" spans="1:10" ht="24" customHeight="1" thickBot="1" x14ac:dyDescent="0.4">
      <c r="D9" s="91" t="s">
        <v>14</v>
      </c>
      <c r="E9" s="95" t="s">
        <v>13</v>
      </c>
      <c r="F9" s="96" t="s">
        <v>80</v>
      </c>
      <c r="G9" s="96" t="s">
        <v>81</v>
      </c>
      <c r="H9" s="97" t="s">
        <v>10</v>
      </c>
      <c r="J9" s="615"/>
    </row>
    <row r="10" spans="1:10" s="81" customFormat="1" ht="42" customHeight="1" x14ac:dyDescent="0.35">
      <c r="A10" s="624" t="s">
        <v>82</v>
      </c>
      <c r="B10" s="625"/>
      <c r="C10" s="626"/>
      <c r="D10" s="82">
        <f>'I. Datos de entrada'!C14</f>
        <v>1056967.9355029783</v>
      </c>
      <c r="E10" s="83">
        <f>'I. Datos de entrada'!$C$31*E11</f>
        <v>502765.74617140542</v>
      </c>
      <c r="F10" s="84">
        <f>'I. Datos de entrada'!$C$31*F11</f>
        <v>614432.66453158064</v>
      </c>
      <c r="G10" s="84">
        <f>'I. Datos de entrada'!$C$31*G11</f>
        <v>2147074.3497025175</v>
      </c>
      <c r="H10" s="85">
        <f>'I. Datos de entrada'!$C$31*H11</f>
        <v>2027998.2519250794</v>
      </c>
      <c r="J10" s="543">
        <f>SUM(D10:H10)</f>
        <v>6349238.9478335604</v>
      </c>
    </row>
    <row r="11" spans="1:10" s="28" customFormat="1" ht="42" customHeight="1" thickBot="1" x14ac:dyDescent="0.4">
      <c r="A11" s="627" t="s">
        <v>83</v>
      </c>
      <c r="B11" s="628"/>
      <c r="C11" s="629"/>
      <c r="D11" s="86">
        <v>1</v>
      </c>
      <c r="E11" s="87">
        <f>'I. Datos de entrada'!B48</f>
        <v>9.5000000000000001E-2</v>
      </c>
      <c r="F11" s="88">
        <f>'I. Datos de entrada'!B47</f>
        <v>0.11609999999999999</v>
      </c>
      <c r="G11" s="88">
        <f>'I. Datos de entrada'!B46</f>
        <v>0.40570000000000001</v>
      </c>
      <c r="H11" s="89">
        <f>'I. Datos de entrada'!B45</f>
        <v>0.38319999999999999</v>
      </c>
      <c r="J11" s="137"/>
    </row>
    <row r="14" spans="1:10" s="366" customFormat="1" ht="30" customHeight="1" x14ac:dyDescent="0.35">
      <c r="A14" s="366" t="s">
        <v>185</v>
      </c>
    </row>
    <row r="15" spans="1:10" ht="13.15" thickBot="1" x14ac:dyDescent="0.4"/>
    <row r="16" spans="1:10" ht="24" customHeight="1" x14ac:dyDescent="0.35">
      <c r="D16" s="90" t="s">
        <v>24</v>
      </c>
      <c r="E16" s="92" t="s">
        <v>79</v>
      </c>
      <c r="F16" s="93"/>
      <c r="G16" s="93"/>
      <c r="H16" s="94"/>
      <c r="J16" s="614" t="s">
        <v>88</v>
      </c>
    </row>
    <row r="17" spans="1:12" ht="24" customHeight="1" thickBot="1" x14ac:dyDescent="0.4">
      <c r="D17" s="133" t="s">
        <v>14</v>
      </c>
      <c r="E17" s="134" t="s">
        <v>13</v>
      </c>
      <c r="F17" s="135" t="s">
        <v>80</v>
      </c>
      <c r="G17" s="135" t="s">
        <v>81</v>
      </c>
      <c r="H17" s="136" t="s">
        <v>10</v>
      </c>
      <c r="J17" s="615"/>
    </row>
    <row r="18" spans="1:12" ht="13.15" thickBot="1" x14ac:dyDescent="0.4"/>
    <row r="19" spans="1:12" ht="45.75" customHeight="1" x14ac:dyDescent="0.35">
      <c r="A19" s="618" t="s">
        <v>84</v>
      </c>
      <c r="B19" s="619"/>
      <c r="C19" s="620"/>
      <c r="D19" s="99">
        <f>'I. Datos de entrada'!$B$63</f>
        <v>0.75</v>
      </c>
      <c r="E19" s="100">
        <f>'I. Datos de entrada'!$B$62</f>
        <v>0.75</v>
      </c>
      <c r="F19" s="100">
        <f>'I. Datos de entrada'!$B$61</f>
        <v>0.75</v>
      </c>
      <c r="G19" s="100">
        <f>'I. Datos de entrada'!$B$60</f>
        <v>0.75</v>
      </c>
      <c r="H19" s="101">
        <f>'I. Datos de entrada'!$B$59</f>
        <v>1</v>
      </c>
      <c r="J19" s="102">
        <f>J20/SUM(D10:H10)</f>
        <v>0.82985202118661239</v>
      </c>
    </row>
    <row r="20" spans="1:12" ht="42.75" customHeight="1" thickBot="1" x14ac:dyDescent="0.4">
      <c r="A20" s="621" t="s">
        <v>85</v>
      </c>
      <c r="B20" s="622"/>
      <c r="C20" s="623"/>
      <c r="D20" s="103">
        <f>D10*D19</f>
        <v>792725.95162723376</v>
      </c>
      <c r="E20" s="104">
        <f>E10*E19</f>
        <v>377074.30962855404</v>
      </c>
      <c r="F20" s="104">
        <f>F10*F19</f>
        <v>460824.49839868548</v>
      </c>
      <c r="G20" s="104">
        <f>G10*G19</f>
        <v>1610305.7622768881</v>
      </c>
      <c r="H20" s="105">
        <f>H10*H19</f>
        <v>2027998.2519250794</v>
      </c>
      <c r="J20" s="106">
        <f>SUM(D20:H20)</f>
        <v>5268928.7738564406</v>
      </c>
    </row>
    <row r="21" spans="1:12" ht="9.75" customHeight="1" thickBot="1" x14ac:dyDescent="0.4">
      <c r="A21" s="107"/>
      <c r="D21" s="107"/>
      <c r="E21" s="107"/>
      <c r="F21" s="107"/>
      <c r="G21" s="107"/>
      <c r="H21" s="107"/>
      <c r="J21" s="107"/>
    </row>
    <row r="22" spans="1:12" ht="43.5" customHeight="1" x14ac:dyDescent="0.35">
      <c r="A22" s="618" t="s">
        <v>86</v>
      </c>
      <c r="B22" s="619"/>
      <c r="C22" s="620"/>
      <c r="D22" s="99">
        <f>1-D19</f>
        <v>0.25</v>
      </c>
      <c r="E22" s="100">
        <f>1-E19</f>
        <v>0.25</v>
      </c>
      <c r="F22" s="100">
        <f>1-F19</f>
        <v>0.25</v>
      </c>
      <c r="G22" s="100">
        <f>1-G19</f>
        <v>0.25</v>
      </c>
      <c r="H22" s="101">
        <f>1-H19</f>
        <v>0</v>
      </c>
      <c r="J22" s="102">
        <f>J23/SUM(D10:H10)</f>
        <v>0.17014797881338764</v>
      </c>
    </row>
    <row r="23" spans="1:12" ht="51.75" customHeight="1" thickBot="1" x14ac:dyDescent="0.4">
      <c r="A23" s="621" t="s">
        <v>87</v>
      </c>
      <c r="B23" s="622"/>
      <c r="C23" s="623"/>
      <c r="D23" s="103">
        <f>D10*D22</f>
        <v>264241.98387574457</v>
      </c>
      <c r="E23" s="104">
        <f>E10*E22</f>
        <v>125691.43654285136</v>
      </c>
      <c r="F23" s="104">
        <f>F10*F22</f>
        <v>153608.16613289516</v>
      </c>
      <c r="G23" s="104">
        <f>G10*G22</f>
        <v>536768.58742562938</v>
      </c>
      <c r="H23" s="105">
        <f>H10*H22</f>
        <v>0</v>
      </c>
      <c r="J23" s="106">
        <f>SUM(D23:H23)</f>
        <v>1080310.1739771203</v>
      </c>
    </row>
    <row r="26" spans="1:12" s="366" customFormat="1" ht="30" customHeight="1" x14ac:dyDescent="0.35">
      <c r="A26" s="366" t="s">
        <v>186</v>
      </c>
    </row>
    <row r="28" spans="1:12" s="368" customFormat="1" ht="16.5" x14ac:dyDescent="0.45">
      <c r="A28" s="367" t="s">
        <v>192</v>
      </c>
    </row>
    <row r="29" spans="1:12" ht="13.15" thickBot="1" x14ac:dyDescent="0.4"/>
    <row r="30" spans="1:12" ht="30" customHeight="1" thickBot="1" x14ac:dyDescent="0.4">
      <c r="B30" s="108" t="s">
        <v>91</v>
      </c>
      <c r="C30" s="109"/>
      <c r="D30" s="110"/>
      <c r="E30" s="110"/>
      <c r="F30" s="109"/>
      <c r="H30" s="108" t="s">
        <v>89</v>
      </c>
      <c r="I30" s="109"/>
      <c r="J30" s="110"/>
      <c r="K30" s="110"/>
      <c r="L30" s="109"/>
    </row>
    <row r="31" spans="1:12" ht="6.75" customHeight="1" thickBot="1" x14ac:dyDescent="0.4"/>
    <row r="32" spans="1:12" ht="21" customHeight="1" x14ac:dyDescent="0.35">
      <c r="A32" s="616" t="s">
        <v>90</v>
      </c>
      <c r="B32" s="143" t="s">
        <v>0</v>
      </c>
      <c r="C32" s="111"/>
      <c r="D32" s="111"/>
      <c r="E32" s="111"/>
      <c r="F32" s="112"/>
      <c r="H32" s="113" t="s">
        <v>0</v>
      </c>
      <c r="I32" s="111"/>
      <c r="J32" s="111"/>
      <c r="K32" s="111"/>
      <c r="L32" s="112"/>
    </row>
    <row r="33" spans="1:12" ht="21" customHeight="1" x14ac:dyDescent="0.35">
      <c r="A33" s="617"/>
      <c r="B33" s="144">
        <v>0</v>
      </c>
      <c r="C33" s="114">
        <v>1</v>
      </c>
      <c r="D33" s="114">
        <v>2</v>
      </c>
      <c r="E33" s="114">
        <v>3</v>
      </c>
      <c r="F33" s="115">
        <v>4</v>
      </c>
      <c r="H33" s="116">
        <v>0</v>
      </c>
      <c r="I33" s="114">
        <v>1</v>
      </c>
      <c r="J33" s="114">
        <v>2</v>
      </c>
      <c r="K33" s="114">
        <v>3</v>
      </c>
      <c r="L33" s="115">
        <v>4</v>
      </c>
    </row>
    <row r="34" spans="1:12" ht="18" customHeight="1" x14ac:dyDescent="0.35">
      <c r="A34" s="140" t="s">
        <v>15</v>
      </c>
      <c r="B34" s="138">
        <f>'I. Datos de entrada'!B74</f>
        <v>0.49372862029646525</v>
      </c>
      <c r="C34" s="117">
        <f>'I. Datos de entrada'!C74</f>
        <v>0.54161915621436718</v>
      </c>
      <c r="D34" s="117">
        <f>'I. Datos de entrada'!D74</f>
        <v>0.53591790193842648</v>
      </c>
      <c r="E34" s="117">
        <f>'I. Datos de entrada'!E74</f>
        <v>0.54047890535917897</v>
      </c>
      <c r="F34" s="118">
        <f>'I. Datos de entrada'!F74</f>
        <v>0.55808656036446469</v>
      </c>
      <c r="H34" s="119">
        <f>H$20*B34</f>
        <v>1001280.7788866127</v>
      </c>
      <c r="I34" s="120">
        <f>G$20*C34</f>
        <v>872172.44821154152</v>
      </c>
      <c r="J34" s="120">
        <f t="shared" ref="J34:J39" si="0">F$20*D34</f>
        <v>246964.09834365131</v>
      </c>
      <c r="K34" s="120">
        <f t="shared" ref="K34:K39" si="1">E$20*E34</f>
        <v>203800.71010710901</v>
      </c>
      <c r="L34" s="121">
        <f t="shared" ref="L34:L39" si="2">D$20*F34</f>
        <v>442409.69965528994</v>
      </c>
    </row>
    <row r="35" spans="1:12" ht="18" customHeight="1" x14ac:dyDescent="0.35">
      <c r="A35" s="141" t="s">
        <v>16</v>
      </c>
      <c r="B35" s="138">
        <f>'I. Datos de entrada'!B75</f>
        <v>0.27023945267958949</v>
      </c>
      <c r="C35" s="117">
        <f>'I. Datos de entrada'!C75</f>
        <v>0.27594070695553019</v>
      </c>
      <c r="D35" s="117">
        <f>'I. Datos de entrada'!D75</f>
        <v>0.31812998859749148</v>
      </c>
      <c r="E35" s="117">
        <f>'I. Datos de entrada'!E75</f>
        <v>0.30444697833523376</v>
      </c>
      <c r="F35" s="118">
        <f>'I. Datos de entrada'!F75</f>
        <v>0.29384965831435078</v>
      </c>
      <c r="H35" s="119">
        <f t="shared" ref="H35:H39" si="3">H$20*B35</f>
        <v>548045.13763539772</v>
      </c>
      <c r="I35" s="120">
        <f t="shared" ref="I35:I39" si="4">G$20*C35</f>
        <v>444348.91045724845</v>
      </c>
      <c r="J35" s="120">
        <f t="shared" si="0"/>
        <v>146602.09242101855</v>
      </c>
      <c r="K35" s="120">
        <f t="shared" si="1"/>
        <v>114799.13417425762</v>
      </c>
      <c r="L35" s="121">
        <f t="shared" si="2"/>
        <v>232942.2500225812</v>
      </c>
    </row>
    <row r="36" spans="1:12" ht="18" customHeight="1" x14ac:dyDescent="0.35">
      <c r="A36" s="141" t="s">
        <v>17</v>
      </c>
      <c r="B36" s="138">
        <f>'I. Datos de entrada'!B76</f>
        <v>8.0957810718358045E-2</v>
      </c>
      <c r="C36" s="117">
        <f>'I. Datos de entrada'!C76</f>
        <v>0.10718358038768529</v>
      </c>
      <c r="D36" s="117">
        <f>'I. Datos de entrada'!D76</f>
        <v>8.7799315849486886E-2</v>
      </c>
      <c r="E36" s="117">
        <f>'I. Datos de entrada'!E76</f>
        <v>9.2360319270239452E-2</v>
      </c>
      <c r="F36" s="118">
        <f>'I. Datos de entrada'!F76</f>
        <v>9.2255125284738046E-2</v>
      </c>
      <c r="H36" s="119">
        <f>H$20*B36</f>
        <v>164182.29861651157</v>
      </c>
      <c r="I36" s="120">
        <f t="shared" si="4"/>
        <v>172598.33711975766</v>
      </c>
      <c r="J36" s="120">
        <f t="shared" si="0"/>
        <v>40460.075686087548</v>
      </c>
      <c r="K36" s="120">
        <f t="shared" si="1"/>
        <v>34826.703625898379</v>
      </c>
      <c r="L36" s="121">
        <f t="shared" si="2"/>
        <v>73133.031983833644</v>
      </c>
    </row>
    <row r="37" spans="1:12" ht="18" customHeight="1" x14ac:dyDescent="0.35">
      <c r="A37" s="141" t="s">
        <v>18</v>
      </c>
      <c r="B37" s="138">
        <f>'I. Datos de entrada'!B77</f>
        <v>7.8677309007981755E-2</v>
      </c>
      <c r="C37" s="117">
        <f>'I. Datos de entrada'!C77</f>
        <v>7.1835803876852913E-2</v>
      </c>
      <c r="D37" s="117">
        <f>'I. Datos de entrada'!D77</f>
        <v>5.2451539338654506E-2</v>
      </c>
      <c r="E37" s="117">
        <f>'I. Datos de entrada'!E77</f>
        <v>5.7012542759407071E-2</v>
      </c>
      <c r="F37" s="118">
        <f>'I. Datos de entrada'!F77</f>
        <v>5.3530751708428248E-2</v>
      </c>
      <c r="H37" s="119">
        <f t="shared" si="3"/>
        <v>159557.4451343563</v>
      </c>
      <c r="I37" s="120">
        <f t="shared" si="4"/>
        <v>115677.60892068867</v>
      </c>
      <c r="J37" s="120">
        <f t="shared" si="0"/>
        <v>24170.954305974381</v>
      </c>
      <c r="K37" s="120">
        <f t="shared" si="1"/>
        <v>21497.965201171839</v>
      </c>
      <c r="L37" s="121">
        <f t="shared" si="2"/>
        <v>42435.21608938495</v>
      </c>
    </row>
    <row r="38" spans="1:12" ht="18" customHeight="1" x14ac:dyDescent="0.35">
      <c r="A38" s="141" t="s">
        <v>19</v>
      </c>
      <c r="B38" s="138">
        <f>'I. Datos de entrada'!B78</f>
        <v>1.1402508551881414E-3</v>
      </c>
      <c r="C38" s="467">
        <f>'I. Datos de entrada'!C78</f>
        <v>1.1402508551881414E-3</v>
      </c>
      <c r="D38" s="467">
        <f>'I. Datos de entrada'!D78</f>
        <v>1.1402508551881414E-3</v>
      </c>
      <c r="E38" s="117">
        <f>'I. Datos de entrada'!E78</f>
        <v>1.1402508551881414E-3</v>
      </c>
      <c r="F38" s="118">
        <f>'I. Datos de entrada'!F78</f>
        <v>1.1389521640091116E-3</v>
      </c>
      <c r="H38" s="119">
        <f t="shared" si="3"/>
        <v>2312.4267410776279</v>
      </c>
      <c r="I38" s="120">
        <f>G$20*C38</f>
        <v>1836.1525225506136</v>
      </c>
      <c r="J38" s="120">
        <f t="shared" si="0"/>
        <v>525.45552839074742</v>
      </c>
      <c r="K38" s="120">
        <f t="shared" si="1"/>
        <v>429.9593040234368</v>
      </c>
      <c r="L38" s="121">
        <f t="shared" si="2"/>
        <v>902.87693807202015</v>
      </c>
    </row>
    <row r="39" spans="1:12" ht="18" customHeight="1" thickBot="1" x14ac:dyDescent="0.4">
      <c r="A39" s="142" t="s">
        <v>20</v>
      </c>
      <c r="B39" s="139">
        <f>'I. Datos de entrada'!B79</f>
        <v>7.5256556442417327E-2</v>
      </c>
      <c r="C39" s="122">
        <f>'I. Datos de entrada'!C79</f>
        <v>2.2805017103762829E-3</v>
      </c>
      <c r="D39" s="122">
        <f>'I. Datos de entrada'!D79</f>
        <v>4.5610034207525657E-3</v>
      </c>
      <c r="E39" s="122">
        <f>'I. Datos de entrada'!E79</f>
        <v>4.5610034207525657E-3</v>
      </c>
      <c r="F39" s="123">
        <f>'I. Datos de entrada'!F79</f>
        <v>1.1389521640091116E-3</v>
      </c>
      <c r="H39" s="124">
        <f t="shared" si="3"/>
        <v>152620.1649111234</v>
      </c>
      <c r="I39" s="125">
        <f t="shared" si="4"/>
        <v>3672.3050451012273</v>
      </c>
      <c r="J39" s="125">
        <f t="shared" si="0"/>
        <v>2101.8221135629897</v>
      </c>
      <c r="K39" s="125">
        <f t="shared" si="1"/>
        <v>1719.8372160937472</v>
      </c>
      <c r="L39" s="126">
        <f t="shared" si="2"/>
        <v>902.87693807202015</v>
      </c>
    </row>
    <row r="40" spans="1:12" ht="5.25" customHeight="1" thickBot="1" x14ac:dyDescent="0.4">
      <c r="B40" s="127"/>
      <c r="C40" s="127"/>
      <c r="D40" s="127"/>
      <c r="E40" s="127"/>
      <c r="F40" s="127"/>
      <c r="H40" s="128"/>
      <c r="I40" s="128"/>
      <c r="J40" s="128"/>
      <c r="K40" s="128"/>
      <c r="L40" s="128"/>
    </row>
    <row r="41" spans="1:12" ht="18" customHeight="1" thickBot="1" x14ac:dyDescent="0.4">
      <c r="A41" s="53" t="s">
        <v>1</v>
      </c>
      <c r="B41" s="145">
        <f>SUM(B34:B40)</f>
        <v>1</v>
      </c>
      <c r="C41" s="129">
        <f>SUM(C34:C40)</f>
        <v>1</v>
      </c>
      <c r="D41" s="129">
        <f>SUM(D34:D40)</f>
        <v>1</v>
      </c>
      <c r="E41" s="129">
        <f>SUM(E34:E40)</f>
        <v>0.99999999999999989</v>
      </c>
      <c r="F41" s="38">
        <f>SUM(F34:F40)</f>
        <v>1</v>
      </c>
      <c r="H41" s="130">
        <f>SUM(H34:H39)</f>
        <v>2027998.2519250794</v>
      </c>
      <c r="I41" s="131">
        <f t="shared" ref="I41:L41" si="5">SUM(I34:I39)</f>
        <v>1610305.7622768884</v>
      </c>
      <c r="J41" s="131">
        <f t="shared" si="5"/>
        <v>460824.49839868554</v>
      </c>
      <c r="K41" s="131">
        <f t="shared" si="5"/>
        <v>377074.30962855398</v>
      </c>
      <c r="L41" s="132">
        <f t="shared" si="5"/>
        <v>792725.95162723376</v>
      </c>
    </row>
    <row r="44" spans="1:12" s="368" customFormat="1" ht="16.5" x14ac:dyDescent="0.45">
      <c r="A44" s="367" t="s">
        <v>193</v>
      </c>
    </row>
    <row r="45" spans="1:12" ht="13.15" thickBot="1" x14ac:dyDescent="0.4"/>
    <row r="46" spans="1:12" ht="30" customHeight="1" thickBot="1" x14ac:dyDescent="0.4">
      <c r="B46" s="108" t="s">
        <v>91</v>
      </c>
      <c r="C46" s="109"/>
      <c r="D46" s="110"/>
      <c r="E46" s="110"/>
      <c r="F46" s="109"/>
      <c r="H46" s="108" t="s">
        <v>89</v>
      </c>
      <c r="I46" s="109"/>
      <c r="J46" s="110"/>
      <c r="K46" s="110"/>
      <c r="L46" s="109"/>
    </row>
    <row r="47" spans="1:12" ht="6.75" customHeight="1" thickBot="1" x14ac:dyDescent="0.4"/>
    <row r="48" spans="1:12" ht="21" customHeight="1" x14ac:dyDescent="0.35">
      <c r="A48" s="616" t="s">
        <v>90</v>
      </c>
      <c r="B48" s="143" t="s">
        <v>0</v>
      </c>
      <c r="C48" s="111"/>
      <c r="D48" s="111"/>
      <c r="E48" s="111"/>
      <c r="F48" s="112"/>
      <c r="H48" s="113" t="s">
        <v>0</v>
      </c>
      <c r="I48" s="111"/>
      <c r="J48" s="111"/>
      <c r="K48" s="111"/>
      <c r="L48" s="112"/>
    </row>
    <row r="49" spans="1:15" ht="21" customHeight="1" x14ac:dyDescent="0.35">
      <c r="A49" s="617"/>
      <c r="B49" s="144">
        <v>0</v>
      </c>
      <c r="C49" s="114">
        <v>1</v>
      </c>
      <c r="D49" s="114">
        <v>2</v>
      </c>
      <c r="E49" s="114">
        <v>3</v>
      </c>
      <c r="F49" s="115">
        <v>4</v>
      </c>
      <c r="H49" s="116">
        <v>0</v>
      </c>
      <c r="I49" s="114">
        <v>1</v>
      </c>
      <c r="J49" s="114">
        <v>2</v>
      </c>
      <c r="K49" s="114">
        <v>3</v>
      </c>
      <c r="L49" s="115">
        <v>4</v>
      </c>
    </row>
    <row r="50" spans="1:15" ht="18" customHeight="1" x14ac:dyDescent="0.35">
      <c r="A50" s="140" t="s">
        <v>15</v>
      </c>
      <c r="B50" s="138">
        <f>'I. Datos de entrada'!B90</f>
        <v>0.49372862029646525</v>
      </c>
      <c r="C50" s="117">
        <f>'I. Datos de entrada'!C90</f>
        <v>0.54161915621436718</v>
      </c>
      <c r="D50" s="117">
        <f>'I. Datos de entrada'!D90</f>
        <v>0.53591790193842648</v>
      </c>
      <c r="E50" s="117">
        <f>'I. Datos de entrada'!E90</f>
        <v>0.54047890535917897</v>
      </c>
      <c r="F50" s="118">
        <f>'I. Datos de entrada'!F90</f>
        <v>0.55808656036446469</v>
      </c>
      <c r="H50" s="119">
        <f t="shared" ref="H50:H55" si="6">H$23*B50</f>
        <v>0</v>
      </c>
      <c r="I50" s="120">
        <f t="shared" ref="I50:I55" si="7">G$23*C50</f>
        <v>290724.14940384717</v>
      </c>
      <c r="J50" s="120">
        <f t="shared" ref="J50:J55" si="8">F$23*D50</f>
        <v>82321.36611455043</v>
      </c>
      <c r="K50" s="120">
        <f t="shared" ref="K50:K55" si="9">E$23*E50</f>
        <v>67933.570035703015</v>
      </c>
      <c r="L50" s="121">
        <f t="shared" ref="L50:L55" si="10">D$23*F50</f>
        <v>147469.89988509662</v>
      </c>
    </row>
    <row r="51" spans="1:15" ht="18" customHeight="1" x14ac:dyDescent="0.35">
      <c r="A51" s="141" t="s">
        <v>16</v>
      </c>
      <c r="B51" s="138">
        <f>'I. Datos de entrada'!B91</f>
        <v>0.27023945267958949</v>
      </c>
      <c r="C51" s="117">
        <f>'I. Datos de entrada'!C91</f>
        <v>0.27594070695553019</v>
      </c>
      <c r="D51" s="117">
        <f>'I. Datos de entrada'!D91</f>
        <v>0.31812998859749148</v>
      </c>
      <c r="E51" s="117">
        <f>'I. Datos de entrada'!E91</f>
        <v>0.30444697833523376</v>
      </c>
      <c r="F51" s="118">
        <f>'I. Datos de entrada'!F91</f>
        <v>0.29384965831435078</v>
      </c>
      <c r="H51" s="119">
        <f t="shared" si="6"/>
        <v>0</v>
      </c>
      <c r="I51" s="120">
        <f t="shared" si="7"/>
        <v>148116.30348574949</v>
      </c>
      <c r="J51" s="120">
        <f t="shared" si="8"/>
        <v>48867.364140339516</v>
      </c>
      <c r="K51" s="120">
        <f t="shared" si="9"/>
        <v>38266.378058085873</v>
      </c>
      <c r="L51" s="121">
        <f t="shared" si="10"/>
        <v>77647.416674193737</v>
      </c>
    </row>
    <row r="52" spans="1:15" ht="18" customHeight="1" x14ac:dyDescent="0.35">
      <c r="A52" s="141" t="s">
        <v>17</v>
      </c>
      <c r="B52" s="138">
        <f>'I. Datos de entrada'!B92</f>
        <v>8.0957810718358045E-2</v>
      </c>
      <c r="C52" s="117">
        <f>'I. Datos de entrada'!C92</f>
        <v>0.10718358038768529</v>
      </c>
      <c r="D52" s="117">
        <f>'I. Datos de entrada'!D92</f>
        <v>8.7799315849486886E-2</v>
      </c>
      <c r="E52" s="117">
        <f>'I. Datos de entrada'!E92</f>
        <v>9.2360319270239452E-2</v>
      </c>
      <c r="F52" s="118">
        <f>'I. Datos de entrada'!F92</f>
        <v>9.2255125284738046E-2</v>
      </c>
      <c r="H52" s="119">
        <f t="shared" si="6"/>
        <v>0</v>
      </c>
      <c r="I52" s="120">
        <f t="shared" si="7"/>
        <v>57532.779039919224</v>
      </c>
      <c r="J52" s="120">
        <f t="shared" si="8"/>
        <v>13486.691895362517</v>
      </c>
      <c r="K52" s="120">
        <f t="shared" si="9"/>
        <v>11608.901208632793</v>
      </c>
      <c r="L52" s="121">
        <f t="shared" si="10"/>
        <v>24377.677327944544</v>
      </c>
    </row>
    <row r="53" spans="1:15" ht="18" customHeight="1" x14ac:dyDescent="0.35">
      <c r="A53" s="141" t="s">
        <v>18</v>
      </c>
      <c r="B53" s="138">
        <f>'I. Datos de entrada'!B93</f>
        <v>7.8677309007981755E-2</v>
      </c>
      <c r="C53" s="117">
        <f>'I. Datos de entrada'!C93</f>
        <v>7.1835803876852913E-2</v>
      </c>
      <c r="D53" s="117">
        <f>'I. Datos de entrada'!D93</f>
        <v>5.2451539338654506E-2</v>
      </c>
      <c r="E53" s="117">
        <f>'I. Datos de entrada'!E93</f>
        <v>5.7012542759407071E-2</v>
      </c>
      <c r="F53" s="118">
        <f>'I. Datos de entrada'!F93</f>
        <v>5.3530751708428248E-2</v>
      </c>
      <c r="H53" s="119">
        <f t="shared" si="6"/>
        <v>0</v>
      </c>
      <c r="I53" s="120">
        <f t="shared" si="7"/>
        <v>38559.202973562889</v>
      </c>
      <c r="J53" s="120">
        <f t="shared" si="8"/>
        <v>8056.984768658127</v>
      </c>
      <c r="K53" s="120">
        <f t="shared" si="9"/>
        <v>7165.9884003906136</v>
      </c>
      <c r="L53" s="121">
        <f t="shared" si="10"/>
        <v>14145.072029794983</v>
      </c>
    </row>
    <row r="54" spans="1:15" ht="18" customHeight="1" x14ac:dyDescent="0.35">
      <c r="A54" s="141" t="s">
        <v>19</v>
      </c>
      <c r="B54" s="138">
        <f>'I. Datos de entrada'!B94</f>
        <v>1.1402508551881414E-3</v>
      </c>
      <c r="C54" s="117">
        <f>'I. Datos de entrada'!C94</f>
        <v>1.1402508551881414E-3</v>
      </c>
      <c r="D54" s="117">
        <f>'I. Datos de entrada'!D94</f>
        <v>1.1402508551881414E-3</v>
      </c>
      <c r="E54" s="117">
        <f>'I. Datos de entrada'!E94</f>
        <v>1.1402508551881414E-3</v>
      </c>
      <c r="F54" s="118">
        <f>'I. Datos de entrada'!F94</f>
        <v>1.1389521640091116E-3</v>
      </c>
      <c r="H54" s="119">
        <f t="shared" si="6"/>
        <v>0</v>
      </c>
      <c r="I54" s="120">
        <f t="shared" si="7"/>
        <v>612.05084085020451</v>
      </c>
      <c r="J54" s="120">
        <f t="shared" si="8"/>
        <v>175.15184279691582</v>
      </c>
      <c r="K54" s="120">
        <f t="shared" si="9"/>
        <v>143.31976800781226</v>
      </c>
      <c r="L54" s="121">
        <f>D$23*F54</f>
        <v>300.95897935734001</v>
      </c>
    </row>
    <row r="55" spans="1:15" ht="18" customHeight="1" thickBot="1" x14ac:dyDescent="0.4">
      <c r="A55" s="142" t="s">
        <v>20</v>
      </c>
      <c r="B55" s="139">
        <f>'I. Datos de entrada'!B95</f>
        <v>7.5256556442417327E-2</v>
      </c>
      <c r="C55" s="122">
        <f>'I. Datos de entrada'!C95</f>
        <v>2.2805017103762829E-3</v>
      </c>
      <c r="D55" s="122">
        <f>'I. Datos de entrada'!D95</f>
        <v>4.5610034207525657E-3</v>
      </c>
      <c r="E55" s="122">
        <f>'I. Datos de entrada'!E95</f>
        <v>4.5610034207525657E-3</v>
      </c>
      <c r="F55" s="123">
        <f>'I. Datos de entrada'!F95</f>
        <v>1.1389521640091116E-3</v>
      </c>
      <c r="H55" s="124">
        <f t="shared" si="6"/>
        <v>0</v>
      </c>
      <c r="I55" s="125">
        <f t="shared" si="7"/>
        <v>1224.101681700409</v>
      </c>
      <c r="J55" s="125">
        <f t="shared" si="8"/>
        <v>700.60737118766326</v>
      </c>
      <c r="K55" s="125">
        <f t="shared" si="9"/>
        <v>573.27907203124903</v>
      </c>
      <c r="L55" s="126">
        <f t="shared" si="10"/>
        <v>300.95897935734001</v>
      </c>
    </row>
    <row r="56" spans="1:15" ht="5.25" customHeight="1" thickBot="1" x14ac:dyDescent="0.4">
      <c r="B56" s="127"/>
      <c r="C56" s="127"/>
      <c r="D56" s="127"/>
      <c r="E56" s="127"/>
      <c r="F56" s="127"/>
      <c r="H56" s="128"/>
      <c r="I56" s="128"/>
      <c r="J56" s="128"/>
      <c r="K56" s="128"/>
      <c r="L56" s="128"/>
    </row>
    <row r="57" spans="1:15" ht="18" customHeight="1" thickBot="1" x14ac:dyDescent="0.4">
      <c r="A57" s="53" t="s">
        <v>1</v>
      </c>
      <c r="B57" s="145">
        <f>SUM(B50:B56)</f>
        <v>1</v>
      </c>
      <c r="C57" s="129">
        <f>SUM(C50:C56)</f>
        <v>1</v>
      </c>
      <c r="D57" s="129">
        <f>SUM(D50:D56)</f>
        <v>1</v>
      </c>
      <c r="E57" s="129">
        <f>SUM(E50:E56)</f>
        <v>0.99999999999999989</v>
      </c>
      <c r="F57" s="38">
        <f>SUM(F50:F56)</f>
        <v>1</v>
      </c>
      <c r="H57" s="130">
        <f>SUM(H50:H55)</f>
        <v>0</v>
      </c>
      <c r="I57" s="131">
        <f>SUM(I50:I55)</f>
        <v>536768.58742562949</v>
      </c>
      <c r="J57" s="131">
        <f t="shared" ref="J57:L57" si="11">SUM(J50:J55)</f>
        <v>153608.16613289513</v>
      </c>
      <c r="K57" s="131">
        <f t="shared" si="11"/>
        <v>125691.43654285136</v>
      </c>
      <c r="L57" s="132">
        <f t="shared" si="11"/>
        <v>264241.98387574451</v>
      </c>
    </row>
    <row r="60" spans="1:15" s="366" customFormat="1" ht="30" customHeight="1" x14ac:dyDescent="0.35">
      <c r="A60" s="366" t="s">
        <v>187</v>
      </c>
    </row>
    <row r="61" spans="1:15" ht="13.15" x14ac:dyDescent="0.4">
      <c r="A61" s="98"/>
    </row>
    <row r="62" spans="1:15" s="368" customFormat="1" ht="16.5" x14ac:dyDescent="0.45">
      <c r="A62" s="367" t="s">
        <v>194</v>
      </c>
    </row>
    <row r="63" spans="1:15" ht="13.5" thickBot="1" x14ac:dyDescent="0.45">
      <c r="A63" s="98"/>
    </row>
    <row r="64" spans="1:15" ht="36.75" customHeight="1" x14ac:dyDescent="0.35">
      <c r="A64" s="57" t="s">
        <v>50</v>
      </c>
      <c r="B64" s="58" t="s">
        <v>49</v>
      </c>
      <c r="C64" s="64" t="s">
        <v>15</v>
      </c>
      <c r="D64" s="64" t="s">
        <v>16</v>
      </c>
      <c r="E64" s="64" t="s">
        <v>17</v>
      </c>
      <c r="F64" s="64" t="s">
        <v>18</v>
      </c>
      <c r="G64" s="64" t="s">
        <v>19</v>
      </c>
      <c r="H64" s="69" t="s">
        <v>20</v>
      </c>
      <c r="J64" s="147" t="s">
        <v>15</v>
      </c>
      <c r="K64" s="148" t="s">
        <v>16</v>
      </c>
      <c r="L64" s="148" t="s">
        <v>17</v>
      </c>
      <c r="M64" s="148" t="s">
        <v>18</v>
      </c>
      <c r="N64" s="148" t="s">
        <v>19</v>
      </c>
      <c r="O64" s="149" t="s">
        <v>20</v>
      </c>
    </row>
    <row r="65" spans="1:18" ht="18" x14ac:dyDescent="0.35">
      <c r="A65" s="146" t="s">
        <v>10</v>
      </c>
      <c r="B65" s="60" t="s">
        <v>51</v>
      </c>
      <c r="C65" s="70">
        <f>'IIIa. Coeficientes Potencia'!D9</f>
        <v>1</v>
      </c>
      <c r="D65" s="70">
        <f>'IIIa. Coeficientes Potencia'!E9</f>
        <v>1</v>
      </c>
      <c r="E65" s="70">
        <f>'IIIa. Coeficientes Potencia'!F9</f>
        <v>1</v>
      </c>
      <c r="F65" s="70">
        <f>'IIIa. Coeficientes Potencia'!G9</f>
        <v>1</v>
      </c>
      <c r="G65" s="70">
        <f>'IIIa. Coeficientes Potencia'!H9</f>
        <v>1</v>
      </c>
      <c r="H65" s="76">
        <f>'IIIa. Coeficientes Potencia'!I9</f>
        <v>1</v>
      </c>
      <c r="J65" s="150">
        <f>$H$34*C65</f>
        <v>1001280.7788866127</v>
      </c>
      <c r="K65" s="151">
        <f>$H$35*D65</f>
        <v>548045.13763539772</v>
      </c>
      <c r="L65" s="151">
        <f>$H$36*E65</f>
        <v>164182.29861651157</v>
      </c>
      <c r="M65" s="151">
        <f>$H$37*F65</f>
        <v>159557.4451343563</v>
      </c>
      <c r="N65" s="151">
        <f>$H$38*G65</f>
        <v>2312.4267410776279</v>
      </c>
      <c r="O65" s="152">
        <f>$H$39*H65</f>
        <v>152620.1649111234</v>
      </c>
    </row>
    <row r="66" spans="1:18" ht="18" x14ac:dyDescent="0.35">
      <c r="A66" s="630" t="s">
        <v>11</v>
      </c>
      <c r="B66" s="61" t="s">
        <v>52</v>
      </c>
      <c r="C66" s="71">
        <f>'IIIa. Coeficientes Potencia'!D10</f>
        <v>0.2729508647213113</v>
      </c>
      <c r="D66" s="71">
        <f>'IIIa. Coeficientes Potencia'!E10</f>
        <v>0.28275512022192573</v>
      </c>
      <c r="E66" s="71">
        <f>'IIIa. Coeficientes Potencia'!F10</f>
        <v>0.31175255230989535</v>
      </c>
      <c r="F66" s="71">
        <f>'IIIa. Coeficientes Potencia'!G10</f>
        <v>0.34942011994200067</v>
      </c>
      <c r="G66" s="71">
        <f>'IIIa. Coeficientes Potencia'!H10</f>
        <v>0.39879433387128671</v>
      </c>
      <c r="H66" s="77">
        <f>'IIIa. Coeficientes Potencia'!I10</f>
        <v>0.23915771570995834</v>
      </c>
      <c r="J66" s="153">
        <f>$I$34*C66</f>
        <v>238060.22392544337</v>
      </c>
      <c r="K66" s="154">
        <f>$I$35*D66</f>
        <v>125641.92959682099</v>
      </c>
      <c r="L66" s="154">
        <f>$I$36*E66</f>
        <v>53807.972121528204</v>
      </c>
      <c r="M66" s="154">
        <f>$I$37*F66</f>
        <v>40420.083983670884</v>
      </c>
      <c r="N66" s="154">
        <f>$I$38*G66</f>
        <v>732.24722211665471</v>
      </c>
      <c r="O66" s="155">
        <f>$I$39*H66</f>
        <v>878.26008597656505</v>
      </c>
    </row>
    <row r="67" spans="1:18" ht="18" x14ac:dyDescent="0.35">
      <c r="A67" s="632"/>
      <c r="B67" s="62" t="s">
        <v>53</v>
      </c>
      <c r="C67" s="72">
        <f>'IIIa. Coeficientes Potencia'!D11</f>
        <v>0.72704913527868875</v>
      </c>
      <c r="D67" s="72">
        <f>'IIIa. Coeficientes Potencia'!E11</f>
        <v>0.71724487977807427</v>
      </c>
      <c r="E67" s="72">
        <f>'IIIa. Coeficientes Potencia'!F11</f>
        <v>0.6882474476901046</v>
      </c>
      <c r="F67" s="72">
        <f>'IIIa. Coeficientes Potencia'!G11</f>
        <v>0.65057988005799938</v>
      </c>
      <c r="G67" s="72">
        <f>'IIIa. Coeficientes Potencia'!H11</f>
        <v>0.60120566612871329</v>
      </c>
      <c r="H67" s="78">
        <f>'IIIa. Coeficientes Potencia'!I11</f>
        <v>0.76084228429004164</v>
      </c>
      <c r="J67" s="156">
        <f>$I$34*C67</f>
        <v>634112.22428609815</v>
      </c>
      <c r="K67" s="157">
        <f>$I$35*D67</f>
        <v>318706.98086042743</v>
      </c>
      <c r="L67" s="157">
        <f>$I$36*E67</f>
        <v>118790.36499822944</v>
      </c>
      <c r="M67" s="157">
        <f>$I$37*F67</f>
        <v>75257.524937017792</v>
      </c>
      <c r="N67" s="157">
        <f>$I$38*G67</f>
        <v>1103.9053004339589</v>
      </c>
      <c r="O67" s="158">
        <f>$I$39*H67</f>
        <v>2794.044959124662</v>
      </c>
    </row>
    <row r="68" spans="1:18" ht="17.25" x14ac:dyDescent="0.35">
      <c r="A68" s="630" t="s">
        <v>12</v>
      </c>
      <c r="B68" s="61" t="s">
        <v>54</v>
      </c>
      <c r="C68" s="71">
        <f>'IIIa. Coeficientes Potencia'!D12</f>
        <v>0.16190765892711012</v>
      </c>
      <c r="D68" s="71">
        <f>'IIIa. Coeficientes Potencia'!E12</f>
        <v>0.16783765161123901</v>
      </c>
      <c r="E68" s="71">
        <f>'IIIa. Coeficientes Potencia'!F12</f>
        <v>0.15458333938911856</v>
      </c>
      <c r="F68" s="71">
        <f>'IIIa. Coeficientes Potencia'!G12</f>
        <v>0.16632980529427802</v>
      </c>
      <c r="G68" s="71">
        <f>'IIIa. Coeficientes Potencia'!H12</f>
        <v>0.2078154953148261</v>
      </c>
      <c r="H68" s="77">
        <f>'IIIa. Coeficientes Potencia'!I12</f>
        <v>0.14618147643431531</v>
      </c>
      <c r="J68" s="153">
        <f>$J$34*C68</f>
        <v>39985.379001865178</v>
      </c>
      <c r="K68" s="154">
        <f>$J$35*D68</f>
        <v>24605.350913237573</v>
      </c>
      <c r="L68" s="154">
        <f>$J$36*E68</f>
        <v>6254.4536114918956</v>
      </c>
      <c r="M68" s="154">
        <f>$J$37*F68</f>
        <v>4020.3501234896098</v>
      </c>
      <c r="N68" s="154">
        <f>$J$38*G68</f>
        <v>109.19780089843684</v>
      </c>
      <c r="O68" s="155">
        <f>$J$39*H68</f>
        <v>307.24745976293099</v>
      </c>
    </row>
    <row r="69" spans="1:18" ht="17.25" x14ac:dyDescent="0.35">
      <c r="A69" s="631"/>
      <c r="B69" s="61" t="s">
        <v>55</v>
      </c>
      <c r="C69" s="71">
        <f>'IIIa. Coeficientes Potencia'!D13</f>
        <v>0.2287059462991855</v>
      </c>
      <c r="D69" s="71">
        <f>'IIIa. Coeficientes Potencia'!E13</f>
        <v>0.23524414622966905</v>
      </c>
      <c r="E69" s="71">
        <f>'IIIa. Coeficientes Potencia'!F13</f>
        <v>0.26349610255905409</v>
      </c>
      <c r="F69" s="71">
        <f>'IIIa. Coeficientes Potencia'!G13</f>
        <v>0.29122321623072106</v>
      </c>
      <c r="G69" s="71">
        <f>'IIIa. Coeficientes Potencia'!H13</f>
        <v>0.31584545698119415</v>
      </c>
      <c r="H69" s="77">
        <f>'IIIa. Coeficientes Potencia'!I13</f>
        <v>0.20415219614172725</v>
      </c>
      <c r="J69" s="153">
        <f>$J$34*C69</f>
        <v>56482.157813609883</v>
      </c>
      <c r="K69" s="154">
        <f>$J$35*D69</f>
        <v>34487.284067065542</v>
      </c>
      <c r="L69" s="154">
        <f>$J$36*E69</f>
        <v>10661.072252528415</v>
      </c>
      <c r="M69" s="154">
        <f>$J$37*F69</f>
        <v>7039.1430523516556</v>
      </c>
      <c r="N69" s="154">
        <f>$J$38*G69</f>
        <v>165.96274148787046</v>
      </c>
      <c r="O69" s="155">
        <f>$J$39*H69</f>
        <v>429.09160038313121</v>
      </c>
    </row>
    <row r="70" spans="1:18" ht="17.25" x14ac:dyDescent="0.35">
      <c r="A70" s="632"/>
      <c r="B70" s="62" t="s">
        <v>56</v>
      </c>
      <c r="C70" s="72">
        <f>'IIIa. Coeficientes Potencia'!D14</f>
        <v>0.60938639477370438</v>
      </c>
      <c r="D70" s="72">
        <f>'IIIa. Coeficientes Potencia'!E14</f>
        <v>0.59691820215909186</v>
      </c>
      <c r="E70" s="72">
        <f>'IIIa. Coeficientes Potencia'!F14</f>
        <v>0.58192055805182741</v>
      </c>
      <c r="F70" s="72">
        <f>'IIIa. Coeficientes Potencia'!G14</f>
        <v>0.5424469784750009</v>
      </c>
      <c r="G70" s="72">
        <f>'IIIa. Coeficientes Potencia'!H14</f>
        <v>0.47633904770397967</v>
      </c>
      <c r="H70" s="78">
        <f>'IIIa. Coeficientes Potencia'!I14</f>
        <v>0.64966632742395736</v>
      </c>
      <c r="J70" s="156">
        <f>$J$34*C70</f>
        <v>150496.56152817624</v>
      </c>
      <c r="K70" s="157">
        <f>$J$35*D70</f>
        <v>87509.457440715414</v>
      </c>
      <c r="L70" s="157">
        <f>$J$36*E70</f>
        <v>23544.549822067238</v>
      </c>
      <c r="M70" s="157">
        <f>$J$37*F70</f>
        <v>13111.461130133115</v>
      </c>
      <c r="N70" s="157">
        <f>$J$38*G70</f>
        <v>250.29498600444009</v>
      </c>
      <c r="O70" s="158">
        <f>$J$39*H70</f>
        <v>1365.4830534169273</v>
      </c>
    </row>
    <row r="71" spans="1:18" ht="17.25" x14ac:dyDescent="0.35">
      <c r="A71" s="630" t="s">
        <v>13</v>
      </c>
      <c r="B71" s="61" t="s">
        <v>57</v>
      </c>
      <c r="C71" s="71">
        <f>'IIIa. Coeficientes Potencia'!D15</f>
        <v>5.5869651807850626E-2</v>
      </c>
      <c r="D71" s="71">
        <f>'IIIa. Coeficientes Potencia'!E15</f>
        <v>6.4066060354206048E-2</v>
      </c>
      <c r="E71" s="71">
        <f>'IIIa. Coeficientes Potencia'!F15</f>
        <v>7.194717281722661E-2</v>
      </c>
      <c r="F71" s="71">
        <f>'IIIa. Coeficientes Potencia'!G15</f>
        <v>8.1543960132191201E-2</v>
      </c>
      <c r="G71" s="71">
        <f>'IIIa. Coeficientes Potencia'!H15</f>
        <v>9.5047902902903783E-2</v>
      </c>
      <c r="H71" s="77">
        <f>'IIIa. Coeficientes Potencia'!I15</f>
        <v>6.7804836907315438E-2</v>
      </c>
      <c r="J71" s="153">
        <f>$K$34*C71</f>
        <v>11386.274711876884</v>
      </c>
      <c r="K71" s="154">
        <f>$K$35*D71</f>
        <v>7354.7282586185866</v>
      </c>
      <c r="L71" s="154">
        <f>$K$36*E71</f>
        <v>2505.682864426843</v>
      </c>
      <c r="M71" s="154">
        <f>$K$37*F71</f>
        <v>1753.0292172875902</v>
      </c>
      <c r="N71" s="154">
        <f>$K$38*G71</f>
        <v>40.866730181019712</v>
      </c>
      <c r="O71" s="155">
        <f>$K$39*H71</f>
        <v>116.61328194436794</v>
      </c>
    </row>
    <row r="72" spans="1:18" ht="17.25" x14ac:dyDescent="0.35">
      <c r="A72" s="631"/>
      <c r="B72" s="61" t="s">
        <v>58</v>
      </c>
      <c r="C72" s="71">
        <f>'IIIa. Coeficientes Potencia'!D16</f>
        <v>5.1612672910892082E-2</v>
      </c>
      <c r="D72" s="71">
        <f>'IIIa. Coeficientes Potencia'!E16</f>
        <v>5.2877256476311314E-2</v>
      </c>
      <c r="E72" s="71">
        <f>'IIIa. Coeficientes Potencia'!F16</f>
        <v>4.7144876514641387E-2</v>
      </c>
      <c r="F72" s="71">
        <f>'IIIa. Coeficientes Potencia'!G16</f>
        <v>4.7370351261898432E-2</v>
      </c>
      <c r="G72" s="71">
        <f>'IIIa. Coeficientes Potencia'!H16</f>
        <v>6.6228632787922903E-2</v>
      </c>
      <c r="H72" s="77">
        <f>'IIIa. Coeficientes Potencia'!I16</f>
        <v>4.5953737664834612E-2</v>
      </c>
      <c r="J72" s="153">
        <f>$K$34*C72</f>
        <v>10518.699389765756</v>
      </c>
      <c r="K72" s="154">
        <f>$K$35*D72</f>
        <v>6070.263260990695</v>
      </c>
      <c r="L72" s="154">
        <f>$K$36*E72</f>
        <v>1641.9006418549925</v>
      </c>
      <c r="M72" s="154">
        <f>$K$37*F72</f>
        <v>1018.366162995579</v>
      </c>
      <c r="N72" s="154">
        <f>$K$38*G72</f>
        <v>28.4756168599191</v>
      </c>
      <c r="O72" s="155">
        <f>$K$39*H72</f>
        <v>79.032948254591531</v>
      </c>
    </row>
    <row r="73" spans="1:18" ht="17.25" x14ac:dyDescent="0.35">
      <c r="A73" s="631"/>
      <c r="B73" s="61" t="s">
        <v>59</v>
      </c>
      <c r="C73" s="71">
        <f>'IIIa. Coeficientes Potencia'!D17</f>
        <v>0.24359686833669209</v>
      </c>
      <c r="D73" s="71">
        <f>'IIIa. Coeficientes Potencia'!E17</f>
        <v>0.24967178004059087</v>
      </c>
      <c r="E73" s="71">
        <f>'IIIa. Coeficientes Potencia'!F17</f>
        <v>0.27460557000279717</v>
      </c>
      <c r="F73" s="71">
        <f>'IIIa. Coeficientes Potencia'!G17</f>
        <v>0.3043526734431341</v>
      </c>
      <c r="G73" s="71">
        <f>'IIIa. Coeficientes Potencia'!H17</f>
        <v>0.33445482606215338</v>
      </c>
      <c r="H73" s="77">
        <f>'IIIa. Coeficientes Potencia'!I17</f>
        <v>0.21193729984246337</v>
      </c>
      <c r="J73" s="153">
        <f>$K$34*C73</f>
        <v>49645.214746885787</v>
      </c>
      <c r="K73" s="154">
        <f>$K$35*D73</f>
        <v>28662.104176405526</v>
      </c>
      <c r="L73" s="154">
        <f>$K$36*E73</f>
        <v>9563.6068005083071</v>
      </c>
      <c r="M73" s="154">
        <f>$K$37*F73</f>
        <v>6542.9631825641136</v>
      </c>
      <c r="N73" s="154">
        <f>$K$38*G73</f>
        <v>143.80196424096309</v>
      </c>
      <c r="O73" s="155">
        <f>$K$39*H73</f>
        <v>364.49765574748795</v>
      </c>
    </row>
    <row r="74" spans="1:18" ht="15.75" x14ac:dyDescent="0.35">
      <c r="A74" s="632"/>
      <c r="B74" s="62" t="s">
        <v>60</v>
      </c>
      <c r="C74" s="72">
        <f>'IIIa. Coeficientes Potencia'!D18</f>
        <v>0.64892080694456522</v>
      </c>
      <c r="D74" s="72">
        <f>'IIIa. Coeficientes Potencia'!E18</f>
        <v>0.63338490312889162</v>
      </c>
      <c r="E74" s="72">
        <f>'IIIa. Coeficientes Potencia'!F18</f>
        <v>0.60630238066533471</v>
      </c>
      <c r="F74" s="72">
        <f>'IIIa. Coeficientes Potencia'!G18</f>
        <v>0.5667330151627763</v>
      </c>
      <c r="G74" s="72">
        <f>'IIIa. Coeficientes Potencia'!H18</f>
        <v>0.50426863824701984</v>
      </c>
      <c r="H74" s="78">
        <f>'IIIa. Coeficientes Potencia'!I18</f>
        <v>0.67430412558538655</v>
      </c>
      <c r="J74" s="156">
        <f>$K$34*C74</f>
        <v>132250.52125858059</v>
      </c>
      <c r="K74" s="157">
        <f>$K$35*D74</f>
        <v>72712.038478242786</v>
      </c>
      <c r="L74" s="157">
        <f>$K$36*E74</f>
        <v>21115.513319108231</v>
      </c>
      <c r="M74" s="157">
        <f>$K$37*F74</f>
        <v>12183.606638324558</v>
      </c>
      <c r="N74" s="157">
        <f>$K$38*G74</f>
        <v>216.81499274153487</v>
      </c>
      <c r="O74" s="158">
        <f>$K$39*H74</f>
        <v>1159.6933301472998</v>
      </c>
    </row>
    <row r="75" spans="1:18" ht="17.25" x14ac:dyDescent="0.35">
      <c r="A75" s="630" t="s">
        <v>14</v>
      </c>
      <c r="B75" s="61" t="s">
        <v>61</v>
      </c>
      <c r="C75" s="71">
        <f>'IIIa. Coeficientes Potencia'!D19</f>
        <v>5.879302955133326E-2</v>
      </c>
      <c r="D75" s="71">
        <f>'IIIa. Coeficientes Potencia'!E19</f>
        <v>6.9308667268920973E-2</v>
      </c>
      <c r="E75" s="71">
        <f>'IIIa. Coeficientes Potencia'!F19</f>
        <v>5.8972537844512E-2</v>
      </c>
      <c r="F75" s="71">
        <f>'IIIa. Coeficientes Potencia'!G19</f>
        <v>7.0959679107796006E-2</v>
      </c>
      <c r="G75" s="71">
        <f>'IIIa. Coeficientes Potencia'!H19</f>
        <v>9.9238173008691047E-2</v>
      </c>
      <c r="H75" s="77">
        <f>'IIIa. Coeficientes Potencia'!I19</f>
        <v>8.594403726590813E-2</v>
      </c>
      <c r="J75" s="153">
        <f>$L$34*C75</f>
        <v>26010.606545629933</v>
      </c>
      <c r="K75" s="154">
        <f>$L$35*D75</f>
        <v>16144.916899688878</v>
      </c>
      <c r="L75" s="154">
        <f>$L$36*E75</f>
        <v>4312.8404963505363</v>
      </c>
      <c r="M75" s="154">
        <f>$L$37*F75</f>
        <v>3011.1893165727383</v>
      </c>
      <c r="N75" s="154">
        <f>$L$38*G75</f>
        <v>89.599857785948373</v>
      </c>
      <c r="O75" s="155">
        <f>$L$39*H75</f>
        <v>77.596889212190732</v>
      </c>
      <c r="P75" s="295"/>
      <c r="R75" s="127"/>
    </row>
    <row r="76" spans="1:18" ht="17.25" x14ac:dyDescent="0.35">
      <c r="A76" s="631"/>
      <c r="B76" s="61" t="s">
        <v>62</v>
      </c>
      <c r="C76" s="71">
        <f>'IIIa. Coeficientes Potencia'!D20</f>
        <v>2.5085155859230213E-2</v>
      </c>
      <c r="D76" s="71">
        <f>'IIIa. Coeficientes Potencia'!E20</f>
        <v>2.8190504471303442E-2</v>
      </c>
      <c r="E76" s="71">
        <f>'IIIa. Coeficientes Potencia'!F20</f>
        <v>3.2281293374526517E-2</v>
      </c>
      <c r="F76" s="71">
        <f>'IIIa. Coeficientes Potencia'!G20</f>
        <v>3.400105912295507E-2</v>
      </c>
      <c r="G76" s="71">
        <f>'IIIa. Coeficientes Potencia'!H20</f>
        <v>3.7863373552725156E-2</v>
      </c>
      <c r="H76" s="77">
        <f>'IIIa. Coeficientes Potencia'!I20</f>
        <v>2.9136994886516596E-2</v>
      </c>
      <c r="J76" s="153">
        <f>$L$34*C76</f>
        <v>11097.916269488174</v>
      </c>
      <c r="K76" s="154">
        <f>$L$35*D76</f>
        <v>6566.75954081706</v>
      </c>
      <c r="L76" s="154">
        <f>$L$36*E76</f>
        <v>2360.8288608387647</v>
      </c>
      <c r="M76" s="154">
        <f>$L$37*F76</f>
        <v>1442.842291150552</v>
      </c>
      <c r="N76" s="154">
        <f>$L$38*G76</f>
        <v>34.185966778361596</v>
      </c>
      <c r="O76" s="155">
        <f>$L$39*H76</f>
        <v>26.30712072775821</v>
      </c>
    </row>
    <row r="77" spans="1:18" ht="17.25" x14ac:dyDescent="0.35">
      <c r="A77" s="631"/>
      <c r="B77" s="61" t="s">
        <v>63</v>
      </c>
      <c r="C77" s="71">
        <f>'IIIa. Coeficientes Potencia'!D21</f>
        <v>6.509493815141891E-2</v>
      </c>
      <c r="D77" s="71">
        <f>'IIIa. Coeficientes Potencia'!E21</f>
        <v>6.7168791097396305E-2</v>
      </c>
      <c r="E77" s="71">
        <f>'IIIa. Coeficientes Potencia'!F21</f>
        <v>6.3504959474254927E-2</v>
      </c>
      <c r="F77" s="71">
        <f>'IIIa. Coeficientes Potencia'!G21</f>
        <v>6.2997101630621777E-2</v>
      </c>
      <c r="G77" s="71">
        <f>'IIIa. Coeficientes Potencia'!H21</f>
        <v>8.0529781469815556E-2</v>
      </c>
      <c r="H77" s="77">
        <f>'IIIa. Coeficientes Potencia'!I21</f>
        <v>5.5239002690909991E-2</v>
      </c>
      <c r="J77" s="153">
        <f>$L$34*C77</f>
        <v>28798.632036648913</v>
      </c>
      <c r="K77" s="154">
        <f>$L$35*D77</f>
        <v>15646.449329524215</v>
      </c>
      <c r="L77" s="154">
        <f>$L$36*E77</f>
        <v>4644.3102323627445</v>
      </c>
      <c r="M77" s="154">
        <f>$L$37*F77</f>
        <v>2673.2956207003799</v>
      </c>
      <c r="N77" s="154">
        <f>$L$38*G77</f>
        <v>72.708482517075979</v>
      </c>
      <c r="O77" s="155">
        <f>$L$39*H77</f>
        <v>49.874021611720892</v>
      </c>
    </row>
    <row r="78" spans="1:18" ht="17.25" x14ac:dyDescent="0.35">
      <c r="A78" s="631"/>
      <c r="B78" s="61" t="s">
        <v>64</v>
      </c>
      <c r="C78" s="71">
        <f>'IIIa. Coeficientes Potencia'!D22</f>
        <v>0.23226758190129393</v>
      </c>
      <c r="D78" s="71">
        <f>'IIIa. Coeficientes Potencia'!E22</f>
        <v>0.23617279228364929</v>
      </c>
      <c r="E78" s="71">
        <f>'IIIa. Coeficientes Potencia'!F22</f>
        <v>0.26347952501851962</v>
      </c>
      <c r="F78" s="71">
        <f>'IIIa. Coeficientes Potencia'!G22</f>
        <v>0.29070275812839985</v>
      </c>
      <c r="G78" s="71">
        <f>'IIIa. Coeficientes Potencia'!H22</f>
        <v>0.31197581441821126</v>
      </c>
      <c r="H78" s="77">
        <f>'IIIa. Coeficientes Potencia'!I22</f>
        <v>0.19840732604555272</v>
      </c>
      <c r="J78" s="153">
        <f>$L$34*C78</f>
        <v>102757.4311486119</v>
      </c>
      <c r="K78" s="154">
        <f>$L$35*D78</f>
        <v>55014.621628668967</v>
      </c>
      <c r="L78" s="154">
        <f>$L$36*E78</f>
        <v>19269.056530264694</v>
      </c>
      <c r="M78" s="154">
        <f>$L$37*F78</f>
        <v>12336.034358958856</v>
      </c>
      <c r="N78" s="154">
        <f>$L$38*G78</f>
        <v>281.67576807443936</v>
      </c>
      <c r="O78" s="155">
        <f>$L$39*H78</f>
        <v>179.13739903106563</v>
      </c>
    </row>
    <row r="79" spans="1:18" ht="17.649999999999999" thickBot="1" x14ac:dyDescent="0.4">
      <c r="A79" s="633"/>
      <c r="B79" s="63" t="s">
        <v>65</v>
      </c>
      <c r="C79" s="73">
        <f>'IIIa. Coeficientes Potencia'!D23</f>
        <v>0.61875929453672363</v>
      </c>
      <c r="D79" s="73">
        <f>'IIIa. Coeficientes Potencia'!E23</f>
        <v>0.59915924487872996</v>
      </c>
      <c r="E79" s="73">
        <f>'IIIa. Coeficientes Potencia'!F23</f>
        <v>0.58176168428818686</v>
      </c>
      <c r="F79" s="73">
        <f>'IIIa. Coeficientes Potencia'!G23</f>
        <v>0.54133940201022734</v>
      </c>
      <c r="G79" s="73">
        <f>'IIIa. Coeficientes Potencia'!H23</f>
        <v>0.47039285755055693</v>
      </c>
      <c r="H79" s="79">
        <f>'IIIa. Coeficientes Potencia'!I23</f>
        <v>0.63127263911111264</v>
      </c>
      <c r="J79" s="159">
        <f>$L$34*C79</f>
        <v>273745.11365491099</v>
      </c>
      <c r="K79" s="160">
        <f>$L$35*D79</f>
        <v>139569.50262388206</v>
      </c>
      <c r="L79" s="160">
        <f>$L$36*E79</f>
        <v>42545.995864016899</v>
      </c>
      <c r="M79" s="160">
        <f>$L$37*F79</f>
        <v>22971.854502002428</v>
      </c>
      <c r="N79" s="160">
        <f>$L$38*G79</f>
        <v>424.70686291619478</v>
      </c>
      <c r="O79" s="161">
        <f>$L$39*H79</f>
        <v>569.96150748928483</v>
      </c>
    </row>
    <row r="82" spans="1:15" s="368" customFormat="1" ht="16.5" x14ac:dyDescent="0.45">
      <c r="A82" s="367" t="s">
        <v>195</v>
      </c>
    </row>
    <row r="83" spans="1:15" ht="13.5" thickBot="1" x14ac:dyDescent="0.45">
      <c r="A83" s="98"/>
    </row>
    <row r="84" spans="1:15" ht="36.75" customHeight="1" x14ac:dyDescent="0.35">
      <c r="A84" s="57" t="s">
        <v>50</v>
      </c>
      <c r="B84" s="58" t="s">
        <v>49</v>
      </c>
      <c r="C84" s="64" t="s">
        <v>15</v>
      </c>
      <c r="D84" s="64" t="s">
        <v>16</v>
      </c>
      <c r="E84" s="64" t="s">
        <v>17</v>
      </c>
      <c r="F84" s="64" t="s">
        <v>18</v>
      </c>
      <c r="G84" s="64" t="s">
        <v>19</v>
      </c>
      <c r="H84" s="69" t="s">
        <v>20</v>
      </c>
      <c r="J84" s="147" t="s">
        <v>15</v>
      </c>
      <c r="K84" s="148" t="s">
        <v>16</v>
      </c>
      <c r="L84" s="148" t="s">
        <v>17</v>
      </c>
      <c r="M84" s="148" t="s">
        <v>18</v>
      </c>
      <c r="N84" s="148" t="s">
        <v>19</v>
      </c>
      <c r="O84" s="149" t="s">
        <v>20</v>
      </c>
    </row>
    <row r="85" spans="1:15" ht="18" x14ac:dyDescent="0.35">
      <c r="A85" s="146" t="s">
        <v>10</v>
      </c>
      <c r="B85" s="60" t="s">
        <v>51</v>
      </c>
      <c r="C85" s="70">
        <f>'IIIb. Coeficientes Energía'!D9</f>
        <v>1</v>
      </c>
      <c r="D85" s="70">
        <f>'IIIb. Coeficientes Energía'!E9</f>
        <v>1</v>
      </c>
      <c r="E85" s="70">
        <f>'IIIb. Coeficientes Energía'!F9</f>
        <v>1</v>
      </c>
      <c r="F85" s="70">
        <f>'IIIb. Coeficientes Energía'!G9</f>
        <v>1</v>
      </c>
      <c r="G85" s="70">
        <f>'IIIb. Coeficientes Energía'!H9</f>
        <v>1</v>
      </c>
      <c r="H85" s="76">
        <f>'IIIb. Coeficientes Energía'!I9</f>
        <v>1</v>
      </c>
      <c r="J85" s="150">
        <f>$H$50*C85</f>
        <v>0</v>
      </c>
      <c r="K85" s="151">
        <f>$H$51*D85</f>
        <v>0</v>
      </c>
      <c r="L85" s="151">
        <f>$H$52*E85</f>
        <v>0</v>
      </c>
      <c r="M85" s="151">
        <f>$H$53*F85</f>
        <v>0</v>
      </c>
      <c r="N85" s="151">
        <f>$H$54*G85</f>
        <v>0</v>
      </c>
      <c r="O85" s="152">
        <f>$H$55*H85</f>
        <v>0</v>
      </c>
    </row>
    <row r="86" spans="1:15" ht="18" x14ac:dyDescent="0.35">
      <c r="A86" s="630" t="s">
        <v>11</v>
      </c>
      <c r="B86" s="61" t="s">
        <v>52</v>
      </c>
      <c r="C86" s="71">
        <f>'IIIb. Coeficientes Energía'!D10</f>
        <v>0.34523259034634007</v>
      </c>
      <c r="D86" s="71">
        <f>'IIIb. Coeficientes Energía'!E10</f>
        <v>0.35653379356954296</v>
      </c>
      <c r="E86" s="71">
        <f>'IIIb. Coeficientes Energía'!F10</f>
        <v>0.39427339522232646</v>
      </c>
      <c r="F86" s="71">
        <f>'IIIb. Coeficientes Energía'!G10</f>
        <v>0.4018160268041065</v>
      </c>
      <c r="G86" s="71">
        <f>'IIIb. Coeficientes Energía'!H10</f>
        <v>0.41512137192497539</v>
      </c>
      <c r="H86" s="77">
        <f>'IIIb. Coeficientes Energía'!I10</f>
        <v>0.37206806949404425</v>
      </c>
      <c r="J86" s="153">
        <f>$I$50*C86</f>
        <v>100367.45117492654</v>
      </c>
      <c r="K86" s="154">
        <f>$I$51*D86</f>
        <v>52808.467571271984</v>
      </c>
      <c r="L86" s="154">
        <f>$I$52*E86</f>
        <v>22683.644128644853</v>
      </c>
      <c r="M86" s="154">
        <f>$I$53*F86</f>
        <v>15493.705735570129</v>
      </c>
      <c r="N86" s="154">
        <f>$I$54*G86</f>
        <v>254.07538474157167</v>
      </c>
      <c r="O86" s="155">
        <f>$I$55*H86</f>
        <v>455.44914957468421</v>
      </c>
    </row>
    <row r="87" spans="1:15" ht="18" x14ac:dyDescent="0.35">
      <c r="A87" s="632"/>
      <c r="B87" s="62" t="s">
        <v>53</v>
      </c>
      <c r="C87" s="72">
        <f>'IIIb. Coeficientes Energía'!D11</f>
        <v>0.65476740965365998</v>
      </c>
      <c r="D87" s="72">
        <f>'IIIb. Coeficientes Energía'!E11</f>
        <v>0.64346620643045704</v>
      </c>
      <c r="E87" s="72">
        <f>'IIIb. Coeficientes Energía'!F11</f>
        <v>0.60572660477767359</v>
      </c>
      <c r="F87" s="72">
        <f>'IIIb. Coeficientes Energía'!G11</f>
        <v>0.59818397319589345</v>
      </c>
      <c r="G87" s="72">
        <f>'IIIb. Coeficientes Energía'!H11</f>
        <v>0.58487862807502455</v>
      </c>
      <c r="H87" s="78">
        <f>'IIIb. Coeficientes Energía'!I11</f>
        <v>0.62793193050595575</v>
      </c>
      <c r="J87" s="156">
        <f>$I$50*C87</f>
        <v>190356.69822892064</v>
      </c>
      <c r="K87" s="157">
        <f>$I$51*D87</f>
        <v>95307.835914477502</v>
      </c>
      <c r="L87" s="157">
        <f>$I$52*E87</f>
        <v>34849.134911274377</v>
      </c>
      <c r="M87" s="157">
        <f>$I$53*F87</f>
        <v>23065.497237992757</v>
      </c>
      <c r="N87" s="157">
        <f>$I$54*G87</f>
        <v>357.97545610863278</v>
      </c>
      <c r="O87" s="158">
        <f>$I$55*H87</f>
        <v>768.65253212572475</v>
      </c>
    </row>
    <row r="88" spans="1:15" ht="17.25" x14ac:dyDescent="0.35">
      <c r="A88" s="630" t="s">
        <v>12</v>
      </c>
      <c r="B88" s="61" t="s">
        <v>54</v>
      </c>
      <c r="C88" s="71">
        <f>'IIIb. Coeficientes Energía'!D12</f>
        <v>0.18675703994849899</v>
      </c>
      <c r="D88" s="71">
        <f>'IIIb. Coeficientes Energía'!E12</f>
        <v>0.20285743032304951</v>
      </c>
      <c r="E88" s="71">
        <f>'IIIb. Coeficientes Energía'!F12</f>
        <v>0.21619000759565749</v>
      </c>
      <c r="F88" s="71">
        <f>'IIIb. Coeficientes Energía'!G12</f>
        <v>0.22355422092410396</v>
      </c>
      <c r="G88" s="71">
        <f>'IIIb. Coeficientes Energía'!H12</f>
        <v>0.23795367336650738</v>
      </c>
      <c r="H88" s="77">
        <f>'IIIb. Coeficientes Energía'!I12</f>
        <v>0.22630595173683651</v>
      </c>
      <c r="J88" s="153">
        <f>$J$50*C88</f>
        <v>15374.094660070106</v>
      </c>
      <c r="K88" s="154">
        <f>$J$51*D88</f>
        <v>9913.1079161700109</v>
      </c>
      <c r="L88" s="154">
        <f>$J$52*E88</f>
        <v>2915.6880232987151</v>
      </c>
      <c r="M88" s="154">
        <f>$J$53*F88</f>
        <v>1801.1729529547395</v>
      </c>
      <c r="N88" s="154">
        <f>$J$54*G88</f>
        <v>41.678024390439155</v>
      </c>
      <c r="O88" s="155">
        <f>$J$55*H88</f>
        <v>158.55161793046722</v>
      </c>
    </row>
    <row r="89" spans="1:15" ht="17.25" x14ac:dyDescent="0.35">
      <c r="A89" s="631"/>
      <c r="B89" s="61" t="s">
        <v>55</v>
      </c>
      <c r="C89" s="71">
        <f>'IIIb. Coeficientes Energía'!D13</f>
        <v>0.2806922170931811</v>
      </c>
      <c r="D89" s="71">
        <f>'IIIb. Coeficientes Energía'!E13</f>
        <v>0.28414207333729513</v>
      </c>
      <c r="E89" s="71">
        <f>'IIIb. Coeficientes Energía'!F13</f>
        <v>0.30896063950271196</v>
      </c>
      <c r="F89" s="71">
        <f>'IIIb. Coeficientes Energía'!G13</f>
        <v>0.311912554751407</v>
      </c>
      <c r="G89" s="71">
        <f>'IIIb. Coeficientes Energía'!H13</f>
        <v>0.3162669062607521</v>
      </c>
      <c r="H89" s="77">
        <f>'IIIb. Coeficientes Energía'!I13</f>
        <v>0.28780184578768142</v>
      </c>
      <c r="J89" s="153">
        <f>$J$50*C89</f>
        <v>23106.96676883263</v>
      </c>
      <c r="K89" s="154">
        <f>$J$51*D89</f>
        <v>13885.274165364657</v>
      </c>
      <c r="L89" s="154">
        <f>$J$52*E89</f>
        <v>4166.8569527672462</v>
      </c>
      <c r="M89" s="154">
        <f>$J$53*F89</f>
        <v>2513.0747027853304</v>
      </c>
      <c r="N89" s="154">
        <f>$J$54*G89</f>
        <v>55.394731447250159</v>
      </c>
      <c r="O89" s="155">
        <f>$J$55*H89</f>
        <v>201.63609460026473</v>
      </c>
    </row>
    <row r="90" spans="1:15" ht="17.25" x14ac:dyDescent="0.35">
      <c r="A90" s="632"/>
      <c r="B90" s="62" t="s">
        <v>56</v>
      </c>
      <c r="C90" s="72">
        <f>'IIIb. Coeficientes Energía'!D14</f>
        <v>0.53255074295831994</v>
      </c>
      <c r="D90" s="72">
        <f>'IIIb. Coeficientes Energía'!E14</f>
        <v>0.51300049633965539</v>
      </c>
      <c r="E90" s="72">
        <f>'IIIb. Coeficientes Energía'!F14</f>
        <v>0.47484935290163061</v>
      </c>
      <c r="F90" s="72">
        <f>'IIIb. Coeficientes Energía'!G14</f>
        <v>0.46453322432448907</v>
      </c>
      <c r="G90" s="72">
        <f>'IIIb. Coeficientes Energía'!H14</f>
        <v>0.44577942037274054</v>
      </c>
      <c r="H90" s="78">
        <f>'IIIb. Coeficientes Energía'!I14</f>
        <v>0.48589220247548193</v>
      </c>
      <c r="J90" s="156">
        <f>$J$50*C90</f>
        <v>43840.304685647694</v>
      </c>
      <c r="K90" s="157">
        <f>$J$51*D90</f>
        <v>25068.98205880485</v>
      </c>
      <c r="L90" s="157">
        <f>$J$52*E90</f>
        <v>6404.1469192965569</v>
      </c>
      <c r="M90" s="157">
        <f>$J$53*F90</f>
        <v>3742.7371129180574</v>
      </c>
      <c r="N90" s="157">
        <f>$J$54*G90</f>
        <v>78.079086959226501</v>
      </c>
      <c r="O90" s="158">
        <f>$J$55*H90</f>
        <v>340.41965865693118</v>
      </c>
    </row>
    <row r="91" spans="1:15" ht="17.25" x14ac:dyDescent="0.35">
      <c r="A91" s="630" t="s">
        <v>13</v>
      </c>
      <c r="B91" s="61" t="s">
        <v>57</v>
      </c>
      <c r="C91" s="71">
        <f>'IIIb. Coeficientes Energía'!D15</f>
        <v>7.574105675656384E-2</v>
      </c>
      <c r="D91" s="71">
        <f>'IIIb. Coeficientes Energía'!E15</f>
        <v>8.4633942119138911E-2</v>
      </c>
      <c r="E91" s="71">
        <f>'IIIb. Coeficientes Energía'!F15</f>
        <v>9.4002237792910795E-2</v>
      </c>
      <c r="F91" s="71">
        <f>'IIIb. Coeficientes Energía'!G15</f>
        <v>9.9700001952753706E-2</v>
      </c>
      <c r="G91" s="71">
        <f>'IIIb. Coeficientes Energía'!H15</f>
        <v>0.10958836802713473</v>
      </c>
      <c r="H91" s="77">
        <f>'IIIb. Coeficientes Energía'!I15</f>
        <v>0.11318197062225552</v>
      </c>
      <c r="J91" s="153">
        <f>$K$50*C91</f>
        <v>5145.3603837501869</v>
      </c>
      <c r="K91" s="154">
        <f>$K$51*D91</f>
        <v>3238.6344256771272</v>
      </c>
      <c r="L91" s="154">
        <f>$K$52*E91</f>
        <v>1091.2626919283093</v>
      </c>
      <c r="M91" s="154">
        <f>$K$53*F91</f>
        <v>714.44905751235456</v>
      </c>
      <c r="N91" s="154">
        <f>$K$54*G91</f>
        <v>15.7061794820037</v>
      </c>
      <c r="O91" s="155">
        <f>$K$55*H91</f>
        <v>64.884855088994726</v>
      </c>
    </row>
    <row r="92" spans="1:15" ht="17.25" x14ac:dyDescent="0.35">
      <c r="A92" s="631"/>
      <c r="B92" s="61" t="s">
        <v>58</v>
      </c>
      <c r="C92" s="71">
        <f>'IIIb. Coeficientes Energía'!D16</f>
        <v>5.5194972465786002E-2</v>
      </c>
      <c r="D92" s="71">
        <f>'IIIb. Coeficientes Energía'!E16</f>
        <v>6.0660983370689925E-2</v>
      </c>
      <c r="E92" s="71">
        <f>'IIIb. Coeficientes Energía'!F16</f>
        <v>6.4122417836647697E-2</v>
      </c>
      <c r="F92" s="71">
        <f>'IIIb. Coeficientes Energía'!G16</f>
        <v>6.5961574013830626E-2</v>
      </c>
      <c r="G92" s="71">
        <f>'IIIb. Coeficientes Energía'!H16</f>
        <v>7.0680718535518494E-2</v>
      </c>
      <c r="H92" s="77">
        <f>'IIIb. Coeficientes Energía'!I16</f>
        <v>6.6903773074089692E-2</v>
      </c>
      <c r="J92" s="153">
        <f>$K$50*C92</f>
        <v>3749.5915276231731</v>
      </c>
      <c r="K92" s="154">
        <f>$K$51*D92</f>
        <v>2321.2761230380811</v>
      </c>
      <c r="L92" s="154">
        <f>$K$52*E92</f>
        <v>744.39081392431638</v>
      </c>
      <c r="M92" s="154">
        <f>$K$53*F92</f>
        <v>472.67987425461718</v>
      </c>
      <c r="N92" s="154">
        <f>$K$54*G92</f>
        <v>10.129944183135986</v>
      </c>
      <c r="O92" s="155">
        <f>$K$55*H92</f>
        <v>38.354532943303404</v>
      </c>
    </row>
    <row r="93" spans="1:15" ht="17.25" x14ac:dyDescent="0.35">
      <c r="A93" s="631"/>
      <c r="B93" s="61" t="s">
        <v>59</v>
      </c>
      <c r="C93" s="71">
        <f>'IIIb. Coeficientes Energía'!D17</f>
        <v>0.30000977182614319</v>
      </c>
      <c r="D93" s="71">
        <f>'IIIb. Coeficientes Energía'!E17</f>
        <v>0.30471144931831945</v>
      </c>
      <c r="E93" s="71">
        <f>'IIIb. Coeficientes Energía'!F17</f>
        <v>0.33190686827290156</v>
      </c>
      <c r="F93" s="71">
        <f>'IIIb. Coeficientes Energía'!G17</f>
        <v>0.3352281841687284</v>
      </c>
      <c r="G93" s="71">
        <f>'IIIb. Coeficientes Energía'!H17</f>
        <v>0.34026560006461248</v>
      </c>
      <c r="H93" s="77">
        <f>'IIIb. Coeficientes Energía'!I17</f>
        <v>0.30504469675604995</v>
      </c>
      <c r="J93" s="153">
        <f>$K$50*C93</f>
        <v>20380.734845746578</v>
      </c>
      <c r="K93" s="154">
        <f>$K$51*D93</f>
        <v>11660.203518242084</v>
      </c>
      <c r="L93" s="154">
        <f>$K$52*E93</f>
        <v>3853.0740442468123</v>
      </c>
      <c r="M93" s="154">
        <f>$K$53*F93</f>
        <v>2402.241279237116</v>
      </c>
      <c r="N93" s="154">
        <f>$K$54*G93</f>
        <v>48.766786862299291</v>
      </c>
      <c r="O93" s="155">
        <f>$K$55*H93</f>
        <v>174.87574068436209</v>
      </c>
    </row>
    <row r="94" spans="1:15" ht="15.75" x14ac:dyDescent="0.35">
      <c r="A94" s="632"/>
      <c r="B94" s="62" t="s">
        <v>60</v>
      </c>
      <c r="C94" s="72">
        <f>'IIIb. Coeficientes Energía'!D18</f>
        <v>0.569054198951507</v>
      </c>
      <c r="D94" s="72">
        <f>'IIIb. Coeficientes Energía'!E18</f>
        <v>0.54999362519185158</v>
      </c>
      <c r="E94" s="72">
        <f>'IIIb. Coeficientes Energía'!F18</f>
        <v>0.50996847609754004</v>
      </c>
      <c r="F94" s="72">
        <f>'IIIb. Coeficientes Energía'!G18</f>
        <v>0.49911023986468733</v>
      </c>
      <c r="G94" s="72">
        <f>'IIIb. Coeficientes Energía'!H18</f>
        <v>0.47946531337273418</v>
      </c>
      <c r="H94" s="78">
        <f>'IIIb. Coeficientes Energía'!I18</f>
        <v>0.51486955954760472</v>
      </c>
      <c r="J94" s="156">
        <f>$K$50*C94</f>
        <v>38657.883278583075</v>
      </c>
      <c r="K94" s="157">
        <f>$K$51*D94</f>
        <v>21046.263991128573</v>
      </c>
      <c r="L94" s="157">
        <f>$K$52*E94</f>
        <v>5920.1736585333565</v>
      </c>
      <c r="M94" s="157">
        <f>$K$53*F94</f>
        <v>3576.6181893865264</v>
      </c>
      <c r="N94" s="157">
        <f>$K$54*G94</f>
        <v>68.716857480373264</v>
      </c>
      <c r="O94" s="158">
        <f>$K$55*H94</f>
        <v>295.16394331458872</v>
      </c>
    </row>
    <row r="95" spans="1:15" ht="17.25" x14ac:dyDescent="0.35">
      <c r="A95" s="630" t="s">
        <v>14</v>
      </c>
      <c r="B95" s="61" t="s">
        <v>61</v>
      </c>
      <c r="C95" s="71">
        <f>'IIIb. Coeficientes Energía'!D19</f>
        <v>7.5684384294395113E-2</v>
      </c>
      <c r="D95" s="71">
        <f>'IIIb. Coeficientes Energía'!E19</f>
        <v>8.7214757844223612E-2</v>
      </c>
      <c r="E95" s="71">
        <f>'IIIb. Coeficientes Energía'!F19</f>
        <v>9.7385513919882635E-2</v>
      </c>
      <c r="F95" s="71">
        <f>'IIIb. Coeficientes Energía'!G19</f>
        <v>0.10301347932903243</v>
      </c>
      <c r="G95" s="71">
        <f>'IIIb. Coeficientes Energía'!H19</f>
        <v>0.11813891150317064</v>
      </c>
      <c r="H95" s="77">
        <f>'IIIb. Coeficientes Energía'!I19</f>
        <v>0.1213872503364138</v>
      </c>
      <c r="J95" s="153">
        <f>$L$50*C95</f>
        <v>11161.168574759626</v>
      </c>
      <c r="K95" s="154">
        <f>$L$51*D95</f>
        <v>6772.0006424693374</v>
      </c>
      <c r="L95" s="154">
        <f>$L$52*E95</f>
        <v>2374.0326347549508</v>
      </c>
      <c r="M95" s="154">
        <f>$L$53*F95</f>
        <v>1457.1330851489604</v>
      </c>
      <c r="N95" s="154">
        <f>$L$54*G95</f>
        <v>35.554966228381353</v>
      </c>
      <c r="O95" s="155">
        <f>$L$55*H95</f>
        <v>36.532582968241023</v>
      </c>
    </row>
    <row r="96" spans="1:15" ht="17.25" x14ac:dyDescent="0.35">
      <c r="A96" s="631"/>
      <c r="B96" s="61" t="s">
        <v>62</v>
      </c>
      <c r="C96" s="71">
        <f>'IIIb. Coeficientes Energía'!D20</f>
        <v>3.2162634875919596E-2</v>
      </c>
      <c r="D96" s="71">
        <f>'IIIb. Coeficientes Energía'!E20</f>
        <v>3.5078313742062502E-2</v>
      </c>
      <c r="E96" s="71">
        <f>'IIIb. Coeficientes Energía'!F20</f>
        <v>3.8838935194876842E-2</v>
      </c>
      <c r="F96" s="71">
        <f>'IIIb. Coeficientes Energía'!G20</f>
        <v>4.0986620664953552E-2</v>
      </c>
      <c r="G96" s="71">
        <f>'IIIb. Coeficientes Energía'!H20</f>
        <v>4.3816304814353564E-2</v>
      </c>
      <c r="H96" s="77">
        <f>'IIIb. Coeficientes Energía'!I20</f>
        <v>4.6920267724731179E-2</v>
      </c>
      <c r="J96" s="153">
        <f>$L$50*C96</f>
        <v>4743.0205451927795</v>
      </c>
      <c r="K96" s="154">
        <f>$L$51*D96</f>
        <v>2723.7404433580232</v>
      </c>
      <c r="L96" s="154">
        <f>$L$52*E96</f>
        <v>946.80302994165663</v>
      </c>
      <c r="M96" s="154">
        <f>$L$53*F96</f>
        <v>579.75870156365158</v>
      </c>
      <c r="N96" s="154">
        <f>$L$54*G96</f>
        <v>13.186910376137952</v>
      </c>
      <c r="O96" s="155">
        <f>$L$55*H96</f>
        <v>14.121075885608239</v>
      </c>
    </row>
    <row r="97" spans="1:15" ht="17.25" x14ac:dyDescent="0.35">
      <c r="A97" s="631"/>
      <c r="B97" s="61" t="s">
        <v>63</v>
      </c>
      <c r="C97" s="71">
        <f>'IIIb. Coeficientes Energía'!D21</f>
        <v>7.1768064521209984E-2</v>
      </c>
      <c r="D97" s="71">
        <f>'IIIb. Coeficientes Energía'!E21</f>
        <v>7.7280380685423228E-2</v>
      </c>
      <c r="E97" s="71">
        <f>'IIIb. Coeficientes Energía'!F21</f>
        <v>8.1058929886925105E-2</v>
      </c>
      <c r="F97" s="71">
        <f>'IIIb. Coeficientes Energía'!G21</f>
        <v>8.2876480618402498E-2</v>
      </c>
      <c r="G97" s="71">
        <f>'IIIb. Coeficientes Energía'!H21</f>
        <v>8.6522282313083787E-2</v>
      </c>
      <c r="H97" s="77">
        <f>'IIIb. Coeficientes Energía'!I21</f>
        <v>8.2428404398096067E-2</v>
      </c>
      <c r="J97" s="153">
        <f>$L$50*C97</f>
        <v>10583.62928988999</v>
      </c>
      <c r="K97" s="154">
        <f>$L$51*D97</f>
        <v>6000.6219198213712</v>
      </c>
      <c r="L97" s="154">
        <f>$L$52*E97</f>
        <v>1976.0284373319405</v>
      </c>
      <c r="M97" s="154">
        <f>$L$53*F97</f>
        <v>1172.2937879232111</v>
      </c>
      <c r="N97" s="154">
        <f>$L$54*G97</f>
        <v>26.039657776613328</v>
      </c>
      <c r="O97" s="155">
        <f>$L$55*H97</f>
        <v>24.80756845770507</v>
      </c>
    </row>
    <row r="98" spans="1:15" ht="17.25" x14ac:dyDescent="0.35">
      <c r="A98" s="631"/>
      <c r="B98" s="61" t="s">
        <v>64</v>
      </c>
      <c r="C98" s="71">
        <f>'IIIb. Coeficientes Energía'!D22</f>
        <v>0.28319834042078229</v>
      </c>
      <c r="D98" s="71">
        <f>'IIIb. Coeficientes Energía'!E22</f>
        <v>0.28535389745536494</v>
      </c>
      <c r="E98" s="71">
        <f>'IIIb. Coeficientes Energía'!F22</f>
        <v>0.30857629864148028</v>
      </c>
      <c r="F98" s="71">
        <f>'IIIb. Coeficientes Energía'!G22</f>
        <v>0.31062527867978512</v>
      </c>
      <c r="G98" s="71">
        <f>'IIIb. Coeficientes Energía'!H22</f>
        <v>0.31194585003648506</v>
      </c>
      <c r="H98" s="77">
        <f>'IIIb. Coeficientes Energía'!I22</f>
        <v>0.27875356177014499</v>
      </c>
      <c r="J98" s="153">
        <f>$L$50*C98</f>
        <v>41763.230909478276</v>
      </c>
      <c r="K98" s="154">
        <f>$L$51*D98</f>
        <v>22156.992975321875</v>
      </c>
      <c r="L98" s="154">
        <f>$L$52*E98</f>
        <v>7522.3734393334589</v>
      </c>
      <c r="M98" s="154">
        <f>$L$53*F98</f>
        <v>4393.8169412007001</v>
      </c>
      <c r="N98" s="154">
        <f>$L$54*G98</f>
        <v>93.882904641738392</v>
      </c>
      <c r="O98" s="155">
        <f>$L$55*H98</f>
        <v>83.893387442566066</v>
      </c>
    </row>
    <row r="99" spans="1:15" ht="17.649999999999999" thickBot="1" x14ac:dyDescent="0.4">
      <c r="A99" s="633"/>
      <c r="B99" s="63" t="s">
        <v>65</v>
      </c>
      <c r="C99" s="73">
        <f>'IIIb. Coeficientes Energía'!D23</f>
        <v>0.53718657588769292</v>
      </c>
      <c r="D99" s="73">
        <f>'IIIb. Coeficientes Energía'!E23</f>
        <v>0.51507265027292548</v>
      </c>
      <c r="E99" s="73">
        <f>'IIIb. Coeficientes Energía'!F23</f>
        <v>0.47414032235683529</v>
      </c>
      <c r="F99" s="73">
        <f>'IIIb. Coeficientes Energía'!G23</f>
        <v>0.46249814070782647</v>
      </c>
      <c r="G99" s="73">
        <f>'IIIb. Coeficientes Energía'!H23</f>
        <v>0.43957665133290691</v>
      </c>
      <c r="H99" s="79">
        <f>'IIIb. Coeficientes Energía'!I23</f>
        <v>0.47051051577061398</v>
      </c>
      <c r="J99" s="159">
        <f>$L$50*C99</f>
        <v>79218.850565775938</v>
      </c>
      <c r="K99" s="160">
        <f>$L$51*D99</f>
        <v>39994.060693223117</v>
      </c>
      <c r="L99" s="160">
        <f>$L$52*E99</f>
        <v>11558.439786582541</v>
      </c>
      <c r="M99" s="160">
        <f>$L$53*F99</f>
        <v>6542.0695139584604</v>
      </c>
      <c r="N99" s="160">
        <f>$L$54*G99</f>
        <v>132.29454033446899</v>
      </c>
      <c r="O99" s="161">
        <f>$L$55*H99</f>
        <v>141.60436460321961</v>
      </c>
    </row>
  </sheetData>
  <mergeCells count="18">
    <mergeCell ref="A91:A94"/>
    <mergeCell ref="A95:A99"/>
    <mergeCell ref="A66:A67"/>
    <mergeCell ref="A68:A70"/>
    <mergeCell ref="A71:A74"/>
    <mergeCell ref="A75:A79"/>
    <mergeCell ref="A86:A87"/>
    <mergeCell ref="A88:A90"/>
    <mergeCell ref="J8:J9"/>
    <mergeCell ref="A32:A33"/>
    <mergeCell ref="A48:A49"/>
    <mergeCell ref="A19:C19"/>
    <mergeCell ref="A20:C20"/>
    <mergeCell ref="A22:C22"/>
    <mergeCell ref="A23:C23"/>
    <mergeCell ref="A10:C10"/>
    <mergeCell ref="A11:C11"/>
    <mergeCell ref="J16:J17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F1A-D501-488A-ACCF-2596D73084A2}">
  <dimension ref="A1:N106"/>
  <sheetViews>
    <sheetView showGridLines="0" workbookViewId="0"/>
  </sheetViews>
  <sheetFormatPr baseColWidth="10" defaultRowHeight="12.75" x14ac:dyDescent="0.35"/>
  <cols>
    <col min="2" max="2" width="14.1328125" customWidth="1"/>
    <col min="3" max="3" width="15.3984375" customWidth="1"/>
    <col min="4" max="4" width="17" customWidth="1"/>
    <col min="5" max="5" width="13.265625" customWidth="1"/>
    <col min="6" max="6" width="13.73046875" bestFit="1" customWidth="1"/>
    <col min="7" max="7" width="18.3984375" customWidth="1"/>
    <col min="8" max="8" width="2.265625" customWidth="1"/>
    <col min="9" max="9" width="19.265625" customWidth="1"/>
    <col min="10" max="12" width="12.86328125" bestFit="1" customWidth="1"/>
    <col min="13" max="13" width="11.86328125" bestFit="1" customWidth="1"/>
    <col min="14" max="14" width="12.86328125" bestFit="1" customWidth="1"/>
    <col min="15" max="15" width="5.3984375" customWidth="1"/>
  </cols>
  <sheetData>
    <row r="1" spans="1:14" s="1" customFormat="1" x14ac:dyDescent="0.35"/>
    <row r="2" spans="1:14" s="1" customFormat="1" x14ac:dyDescent="0.35"/>
    <row r="3" spans="1:14" s="1" customFormat="1" x14ac:dyDescent="0.35"/>
    <row r="4" spans="1:14" s="1" customFormat="1" x14ac:dyDescent="0.35"/>
    <row r="5" spans="1:14" s="1" customFormat="1" x14ac:dyDescent="0.35"/>
    <row r="6" spans="1:14" s="366" customFormat="1" ht="30" customHeight="1" x14ac:dyDescent="0.35">
      <c r="A6" s="366" t="s">
        <v>188</v>
      </c>
    </row>
    <row r="7" spans="1:14" s="5" customFormat="1" ht="16.5" customHeight="1" x14ac:dyDescent="0.35">
      <c r="A7" s="5" t="s">
        <v>198</v>
      </c>
    </row>
    <row r="8" spans="1:14" ht="5.25" customHeight="1" thickBot="1" x14ac:dyDescent="0.4"/>
    <row r="9" spans="1:14" ht="25.5" customHeight="1" thickBot="1" x14ac:dyDescent="0.4">
      <c r="B9" s="291" t="s">
        <v>92</v>
      </c>
      <c r="C9" s="178"/>
      <c r="D9" s="178"/>
      <c r="E9" s="178"/>
      <c r="F9" s="178"/>
      <c r="G9" s="179"/>
      <c r="I9" s="291" t="s">
        <v>93</v>
      </c>
      <c r="J9" s="178"/>
      <c r="K9" s="178"/>
      <c r="L9" s="178"/>
      <c r="M9" s="178"/>
      <c r="N9" s="179"/>
    </row>
    <row r="10" spans="1:14" ht="13.15" thickBot="1" x14ac:dyDescent="0.4"/>
    <row r="11" spans="1:14" ht="25.15" customHeight="1" x14ac:dyDescent="0.35">
      <c r="A11" s="634" t="s">
        <v>50</v>
      </c>
      <c r="B11" s="162" t="s">
        <v>101</v>
      </c>
      <c r="C11" s="162"/>
      <c r="D11" s="162"/>
      <c r="E11" s="162"/>
      <c r="F11" s="162"/>
      <c r="G11" s="163"/>
      <c r="I11" s="180" t="s">
        <v>101</v>
      </c>
      <c r="J11" s="162"/>
      <c r="K11" s="162"/>
      <c r="L11" s="162"/>
      <c r="M11" s="162"/>
      <c r="N11" s="163"/>
    </row>
    <row r="12" spans="1:14" ht="25.15" customHeight="1" x14ac:dyDescent="0.35">
      <c r="A12" s="635"/>
      <c r="B12" s="164" t="s">
        <v>15</v>
      </c>
      <c r="C12" s="164" t="s">
        <v>16</v>
      </c>
      <c r="D12" s="164" t="s">
        <v>17</v>
      </c>
      <c r="E12" s="164" t="s">
        <v>18</v>
      </c>
      <c r="F12" s="164" t="s">
        <v>19</v>
      </c>
      <c r="G12" s="165" t="s">
        <v>20</v>
      </c>
      <c r="I12" s="181" t="s">
        <v>15</v>
      </c>
      <c r="J12" s="164" t="s">
        <v>16</v>
      </c>
      <c r="K12" s="164" t="s">
        <v>17</v>
      </c>
      <c r="L12" s="164" t="s">
        <v>18</v>
      </c>
      <c r="M12" s="164" t="s">
        <v>19</v>
      </c>
      <c r="N12" s="165" t="s">
        <v>20</v>
      </c>
    </row>
    <row r="13" spans="1:14" ht="15" customHeight="1" x14ac:dyDescent="0.35">
      <c r="A13" s="168" t="s">
        <v>10</v>
      </c>
      <c r="B13" s="169">
        <f>'IV. Metodología de asignación'!J79</f>
        <v>273745.11365491099</v>
      </c>
      <c r="C13" s="169">
        <f>'IV. Metodología de asignación'!K79</f>
        <v>139569.50262388206</v>
      </c>
      <c r="D13" s="169">
        <f>'IV. Metodología de asignación'!L79</f>
        <v>42545.995864016899</v>
      </c>
      <c r="E13" s="169">
        <f>'IV. Metodología de asignación'!M79</f>
        <v>22971.854502002428</v>
      </c>
      <c r="F13" s="169">
        <f>'IV. Metodología de asignación'!N79</f>
        <v>424.70686291619478</v>
      </c>
      <c r="G13" s="170">
        <f>'IV. Metodología de asignación'!O79</f>
        <v>569.96150748928483</v>
      </c>
      <c r="I13" s="182">
        <f>'IV. Metodología de asignación'!J99</f>
        <v>79218.850565775938</v>
      </c>
      <c r="J13" s="169">
        <f>'IV. Metodología de asignación'!K99</f>
        <v>39994.060693223117</v>
      </c>
      <c r="K13" s="169">
        <f>'IV. Metodología de asignación'!L99</f>
        <v>11558.439786582541</v>
      </c>
      <c r="L13" s="169">
        <f>'IV. Metodología de asignación'!M99</f>
        <v>6542.0695139584604</v>
      </c>
      <c r="M13" s="169">
        <f>'IV. Metodología de asignación'!N99</f>
        <v>132.29454033446899</v>
      </c>
      <c r="N13" s="170">
        <f>'IV. Metodología de asignación'!O99</f>
        <v>141.60436460321961</v>
      </c>
    </row>
    <row r="14" spans="1:14" ht="15" customHeight="1" x14ac:dyDescent="0.35">
      <c r="A14" s="171" t="s">
        <v>11</v>
      </c>
      <c r="B14" s="172">
        <f>'IV. Metodología de asignación'!J78</f>
        <v>102757.4311486119</v>
      </c>
      <c r="C14" s="172">
        <f>'IV. Metodología de asignación'!K78</f>
        <v>55014.621628668967</v>
      </c>
      <c r="D14" s="172">
        <f>'IV. Metodología de asignación'!L78</f>
        <v>19269.056530264694</v>
      </c>
      <c r="E14" s="172">
        <f>'IV. Metodología de asignación'!M78</f>
        <v>12336.034358958856</v>
      </c>
      <c r="F14" s="172">
        <f>'IV. Metodología de asignación'!N78</f>
        <v>281.67576807443936</v>
      </c>
      <c r="G14" s="173">
        <f>'IV. Metodología de asignación'!O78</f>
        <v>179.13739903106563</v>
      </c>
      <c r="I14" s="183">
        <f>'IV. Metodología de asignación'!J98</f>
        <v>41763.230909478276</v>
      </c>
      <c r="J14" s="172">
        <f>'IV. Metodología de asignación'!K98</f>
        <v>22156.992975321875</v>
      </c>
      <c r="K14" s="172">
        <f>'IV. Metodología de asignación'!L98</f>
        <v>7522.3734393334589</v>
      </c>
      <c r="L14" s="172">
        <f>'IV. Metodología de asignación'!M98</f>
        <v>4393.8169412007001</v>
      </c>
      <c r="M14" s="172">
        <f>'IV. Metodología de asignación'!N98</f>
        <v>93.882904641738392</v>
      </c>
      <c r="N14" s="173">
        <f>'IV. Metodología de asignación'!O98</f>
        <v>83.893387442566066</v>
      </c>
    </row>
    <row r="15" spans="1:14" ht="15" customHeight="1" x14ac:dyDescent="0.35">
      <c r="A15" s="171" t="s">
        <v>12</v>
      </c>
      <c r="B15" s="172">
        <f>'IV. Metodología de asignación'!J77</f>
        <v>28798.632036648913</v>
      </c>
      <c r="C15" s="172">
        <f>'IV. Metodología de asignación'!K77</f>
        <v>15646.449329524215</v>
      </c>
      <c r="D15" s="172">
        <f>'IV. Metodología de asignación'!L77</f>
        <v>4644.3102323627445</v>
      </c>
      <c r="E15" s="172">
        <f>'IV. Metodología de asignación'!M77</f>
        <v>2673.2956207003799</v>
      </c>
      <c r="F15" s="172">
        <f>'IV. Metodología de asignación'!N77</f>
        <v>72.708482517075979</v>
      </c>
      <c r="G15" s="173">
        <f>'IV. Metodología de asignación'!O77</f>
        <v>49.874021611720892</v>
      </c>
      <c r="I15" s="183">
        <f>'IV. Metodología de asignación'!J97</f>
        <v>10583.62928988999</v>
      </c>
      <c r="J15" s="172">
        <f>'IV. Metodología de asignación'!K97</f>
        <v>6000.6219198213712</v>
      </c>
      <c r="K15" s="172">
        <f>'IV. Metodología de asignación'!L97</f>
        <v>1976.0284373319405</v>
      </c>
      <c r="L15" s="172">
        <f>'IV. Metodología de asignación'!M97</f>
        <v>1172.2937879232111</v>
      </c>
      <c r="M15" s="172">
        <f>'IV. Metodología de asignación'!N97</f>
        <v>26.039657776613328</v>
      </c>
      <c r="N15" s="173">
        <f>'IV. Metodología de asignación'!O97</f>
        <v>24.80756845770507</v>
      </c>
    </row>
    <row r="16" spans="1:14" ht="15" customHeight="1" x14ac:dyDescent="0.35">
      <c r="A16" s="171" t="s">
        <v>13</v>
      </c>
      <c r="B16" s="172">
        <f>'IV. Metodología de asignación'!J76</f>
        <v>11097.916269488174</v>
      </c>
      <c r="C16" s="172">
        <f>'IV. Metodología de asignación'!K76</f>
        <v>6566.75954081706</v>
      </c>
      <c r="D16" s="172">
        <f>'IV. Metodología de asignación'!L76</f>
        <v>2360.8288608387647</v>
      </c>
      <c r="E16" s="172">
        <f>'IV. Metodología de asignación'!M76</f>
        <v>1442.842291150552</v>
      </c>
      <c r="F16" s="172">
        <f>'IV. Metodología de asignación'!N76</f>
        <v>34.185966778361596</v>
      </c>
      <c r="G16" s="173">
        <f>'IV. Metodología de asignación'!O76</f>
        <v>26.30712072775821</v>
      </c>
      <c r="I16" s="183">
        <f>'IV. Metodología de asignación'!J96</f>
        <v>4743.0205451927795</v>
      </c>
      <c r="J16" s="172">
        <f>'IV. Metodología de asignación'!K96</f>
        <v>2723.7404433580232</v>
      </c>
      <c r="K16" s="172">
        <f>'IV. Metodología de asignación'!L96</f>
        <v>946.80302994165663</v>
      </c>
      <c r="L16" s="172">
        <f>'IV. Metodología de asignación'!M96</f>
        <v>579.75870156365158</v>
      </c>
      <c r="M16" s="172">
        <f>'IV. Metodología de asignación'!N96</f>
        <v>13.186910376137952</v>
      </c>
      <c r="N16" s="173">
        <f>'IV. Metodología de asignación'!O96</f>
        <v>14.121075885608239</v>
      </c>
    </row>
    <row r="17" spans="1:14" ht="15" customHeight="1" thickBot="1" x14ac:dyDescent="0.4">
      <c r="A17" s="174" t="s">
        <v>14</v>
      </c>
      <c r="B17" s="175">
        <f>'IV. Metodología de asignación'!J75</f>
        <v>26010.606545629933</v>
      </c>
      <c r="C17" s="175">
        <f>'IV. Metodología de asignación'!K75</f>
        <v>16144.916899688878</v>
      </c>
      <c r="D17" s="175">
        <f>'IV. Metodología de asignación'!L75</f>
        <v>4312.8404963505363</v>
      </c>
      <c r="E17" s="175">
        <f>'IV. Metodología de asignación'!M75</f>
        <v>3011.1893165727383</v>
      </c>
      <c r="F17" s="175">
        <f>'IV. Metodología de asignación'!N75</f>
        <v>89.599857785948373</v>
      </c>
      <c r="G17" s="176">
        <f>'IV. Metodología de asignación'!O75</f>
        <v>77.596889212190732</v>
      </c>
      <c r="I17" s="184">
        <f>'IV. Metodología de asignación'!J95</f>
        <v>11161.168574759626</v>
      </c>
      <c r="J17" s="175">
        <f>'IV. Metodología de asignación'!K95</f>
        <v>6772.0006424693374</v>
      </c>
      <c r="K17" s="175">
        <f>'IV. Metodología de asignación'!L95</f>
        <v>2374.0326347549508</v>
      </c>
      <c r="L17" s="175">
        <f>'IV. Metodología de asignación'!M95</f>
        <v>1457.1330851489604</v>
      </c>
      <c r="M17" s="175">
        <f>'IV. Metodología de asignación'!N95</f>
        <v>35.554966228381353</v>
      </c>
      <c r="N17" s="176">
        <f>'IV. Metodología de asignación'!O95</f>
        <v>36.532582968241023</v>
      </c>
    </row>
    <row r="18" spans="1:14" ht="13.15" thickBot="1" x14ac:dyDescent="0.4">
      <c r="B18" s="217"/>
      <c r="C18" s="217"/>
      <c r="D18" s="217"/>
      <c r="E18" s="217"/>
      <c r="F18" s="217"/>
      <c r="G18" s="217"/>
      <c r="N18" s="217">
        <f>SUM(I13:N17)-'IV. Metodología de asignación'!D23</f>
        <v>0</v>
      </c>
    </row>
    <row r="19" spans="1:14" ht="24" customHeight="1" x14ac:dyDescent="0.35">
      <c r="A19" s="634" t="s">
        <v>50</v>
      </c>
      <c r="B19" s="162" t="s">
        <v>102</v>
      </c>
      <c r="C19" s="162"/>
      <c r="D19" s="162"/>
      <c r="E19" s="162"/>
      <c r="F19" s="162"/>
      <c r="G19" s="163"/>
      <c r="I19" s="180" t="s">
        <v>109</v>
      </c>
      <c r="J19" s="162"/>
      <c r="K19" s="162"/>
      <c r="L19" s="162"/>
      <c r="M19" s="162"/>
      <c r="N19" s="163"/>
    </row>
    <row r="20" spans="1:14" ht="24" customHeight="1" x14ac:dyDescent="0.35">
      <c r="A20" s="635"/>
      <c r="B20" s="164" t="s">
        <v>15</v>
      </c>
      <c r="C20" s="164" t="s">
        <v>16</v>
      </c>
      <c r="D20" s="164" t="s">
        <v>17</v>
      </c>
      <c r="E20" s="164" t="s">
        <v>18</v>
      </c>
      <c r="F20" s="164" t="s">
        <v>19</v>
      </c>
      <c r="G20" s="165" t="s">
        <v>20</v>
      </c>
      <c r="I20" s="181" t="s">
        <v>15</v>
      </c>
      <c r="J20" s="164" t="s">
        <v>16</v>
      </c>
      <c r="K20" s="164" t="s">
        <v>17</v>
      </c>
      <c r="L20" s="164" t="s">
        <v>18</v>
      </c>
      <c r="M20" s="164" t="s">
        <v>19</v>
      </c>
      <c r="N20" s="165" t="s">
        <v>20</v>
      </c>
    </row>
    <row r="21" spans="1:14" ht="15" customHeight="1" x14ac:dyDescent="0.35">
      <c r="A21" s="168" t="s">
        <v>10</v>
      </c>
      <c r="B21" s="169">
        <f>'I. Datos de entrada'!C120+'I. Datos de entrada'!C121</f>
        <v>148870.54121399322</v>
      </c>
      <c r="C21" s="169">
        <f>'I. Datos de entrada'!D120+'I. Datos de entrada'!D121</f>
        <v>149903.43316542101</v>
      </c>
      <c r="D21" s="169">
        <f>'I. Datos de entrada'!E120+'I. Datos de entrada'!E121</f>
        <v>149976.03195968005</v>
      </c>
      <c r="E21" s="169">
        <f>'I. Datos de entrada'!F120+'I. Datos de entrada'!F121</f>
        <v>149995.65472992221</v>
      </c>
      <c r="F21" s="169">
        <f>'I. Datos de entrada'!G120+'I. Datos de entrada'!G121</f>
        <v>150006.09612554024</v>
      </c>
      <c r="G21" s="170">
        <f>'I. Datos de entrada'!H120+'I. Datos de entrada'!H121</f>
        <v>154962.47232798225</v>
      </c>
      <c r="I21" s="182">
        <f>('I. Datos de entrada'!C106+'I. Datos de entrada'!C107)*1000</f>
        <v>12341198.349407114</v>
      </c>
      <c r="J21" s="169">
        <f>('I. Datos de entrada'!D106+'I. Datos de entrada'!D107)*1000</f>
        <v>14697986.811927935</v>
      </c>
      <c r="K21" s="169">
        <f>('I. Datos de entrada'!E106+'I. Datos de entrada'!E107)*1000</f>
        <v>12568837.120157514</v>
      </c>
      <c r="L21" s="169">
        <f>('I. Datos de entrada'!F106+'I. Datos de entrada'!F107)*1000</f>
        <v>13764382.707667282</v>
      </c>
      <c r="M21" s="169">
        <f>('I. Datos de entrada'!G106+'I. Datos de entrada'!G107)*1000</f>
        <v>5349328.6281975172</v>
      </c>
      <c r="N21" s="170">
        <f>('I. Datos de entrada'!H106+'I. Datos de entrada'!H107)*1000</f>
        <v>49991974.938067272</v>
      </c>
    </row>
    <row r="22" spans="1:14" ht="15" customHeight="1" x14ac:dyDescent="0.35">
      <c r="A22" s="171" t="s">
        <v>11</v>
      </c>
      <c r="B22" s="172">
        <f>'I. Datos de entrada'!C122</f>
        <v>18883.095266940098</v>
      </c>
      <c r="C22" s="172">
        <f>'I. Datos de entrada'!D122</f>
        <v>19482.787279381508</v>
      </c>
      <c r="D22" s="172">
        <f>'I. Datos de entrada'!E122</f>
        <v>19866.940022960142</v>
      </c>
      <c r="E22" s="172">
        <f>'I. Datos de entrada'!F122</f>
        <v>20046.330217362225</v>
      </c>
      <c r="F22" s="172">
        <f>'I. Datos de entrada'!G122</f>
        <v>20126.417100620922</v>
      </c>
      <c r="G22" s="173">
        <f>'I. Datos de entrada'!H122</f>
        <v>28361.646541117618</v>
      </c>
      <c r="I22" s="183">
        <f>'I. Datos de entrada'!C108*1000</f>
        <v>6848156.9507509321</v>
      </c>
      <c r="J22" s="172">
        <f>'I. Datos de entrada'!D108*1000</f>
        <v>8450421.4268585853</v>
      </c>
      <c r="K22" s="172">
        <f>'I. Datos de entrada'!E108*1000</f>
        <v>8087709.1897386163</v>
      </c>
      <c r="L22" s="172">
        <f>'I. Datos de entrada'!F108*1000</f>
        <v>9053371.0894941799</v>
      </c>
      <c r="M22" s="172">
        <f>'I. Datos de entrada'!G108*1000</f>
        <v>3705607.647880564</v>
      </c>
      <c r="N22" s="173">
        <f>'I. Datos de entrada'!H108*1000</f>
        <v>31509839.92045968</v>
      </c>
    </row>
    <row r="23" spans="1:14" ht="15" customHeight="1" x14ac:dyDescent="0.35">
      <c r="A23" s="171" t="s">
        <v>12</v>
      </c>
      <c r="B23" s="172">
        <f>'I. Datos de entrada'!C123</f>
        <v>4771.4171674848667</v>
      </c>
      <c r="C23" s="172">
        <f>'I. Datos de entrada'!D123</f>
        <v>4914.2590407278349</v>
      </c>
      <c r="D23" s="172">
        <f>'I. Datos de entrada'!E123</f>
        <v>5053.6301855593747</v>
      </c>
      <c r="E23" s="172">
        <f>'I. Datos de entrada'!F123</f>
        <v>5100.440776483726</v>
      </c>
      <c r="F23" s="172">
        <f>'I. Datos de entrada'!G123</f>
        <v>5100.8687764837259</v>
      </c>
      <c r="G23" s="173">
        <f>'I. Datos de entrada'!H123</f>
        <v>6536.4599387553571</v>
      </c>
      <c r="I23" s="183">
        <f>'I. Datos de entrada'!C109*1000</f>
        <v>2011334.2901966935</v>
      </c>
      <c r="J23" s="172">
        <f>'I. Datos de entrada'!D109*1000</f>
        <v>2666298.890584114</v>
      </c>
      <c r="K23" s="172">
        <f>'I. Datos de entrada'!E109*1000</f>
        <v>2472568.8326571281</v>
      </c>
      <c r="L23" s="172">
        <f>'I. Datos de entrada'!F109*1000</f>
        <v>2827672.6651716656</v>
      </c>
      <c r="M23" s="172">
        <f>'I. Datos de entrada'!G109*1000</f>
        <v>1222588.3079063608</v>
      </c>
      <c r="N23" s="173">
        <f>'I. Datos de entrada'!H109*1000</f>
        <v>11081705.909274878</v>
      </c>
    </row>
    <row r="24" spans="1:14" ht="15" customHeight="1" x14ac:dyDescent="0.35">
      <c r="A24" s="171" t="s">
        <v>13</v>
      </c>
      <c r="B24" s="172">
        <f>'I. Datos de entrada'!C124</f>
        <v>2083.5330052710651</v>
      </c>
      <c r="C24" s="172">
        <f>'I. Datos de entrada'!D124</f>
        <v>2141.0306642504111</v>
      </c>
      <c r="D24" s="172">
        <f>'I. Datos de entrada'!E124</f>
        <v>2297.3472021746779</v>
      </c>
      <c r="E24" s="172">
        <f>'I. Datos de entrada'!F124</f>
        <v>2314.9415935380935</v>
      </c>
      <c r="F24" s="172">
        <f>'I. Datos de entrada'!G124</f>
        <v>2320.2008437749619</v>
      </c>
      <c r="G24" s="173">
        <f>'I. Datos de entrada'!H124</f>
        <v>2826.5052799953064</v>
      </c>
      <c r="I24" s="183">
        <f>'I. Datos de entrada'!C110*1000</f>
        <v>804284.34440025117</v>
      </c>
      <c r="J24" s="172">
        <f>'I. Datos de entrada'!D110*1000</f>
        <v>1090032.909878527</v>
      </c>
      <c r="K24" s="172">
        <f>'I. Datos de entrada'!E110*1000</f>
        <v>1055636.0161004248</v>
      </c>
      <c r="L24" s="172">
        <f>'I. Datos de entrada'!F110*1000</f>
        <v>1216829.3768650456</v>
      </c>
      <c r="M24" s="172">
        <f>'I. Datos de entrada'!G110*1000</f>
        <v>531420.75046180305</v>
      </c>
      <c r="N24" s="173">
        <f>'I. Datos de entrada'!H110*1000</f>
        <v>5495029.961975771</v>
      </c>
    </row>
    <row r="25" spans="1:14" ht="15" customHeight="1" thickBot="1" x14ac:dyDescent="0.4">
      <c r="A25" s="174" t="s">
        <v>14</v>
      </c>
      <c r="B25" s="175">
        <f>'I. Datos de entrada'!C125</f>
        <v>3946.852385670963</v>
      </c>
      <c r="C25" s="175">
        <f>'I. Datos de entrada'!D125</f>
        <v>4097.715222405478</v>
      </c>
      <c r="D25" s="175">
        <f>'I. Datos de entrada'!E125</f>
        <v>4507.4869977831022</v>
      </c>
      <c r="E25" s="175">
        <f>'I. Datos de entrada'!F125</f>
        <v>4527.5501759345561</v>
      </c>
      <c r="F25" s="175">
        <f>'I. Datos de entrada'!G125</f>
        <v>4529.9595336462444</v>
      </c>
      <c r="G25" s="176">
        <f>'I. Datos de entrada'!H125</f>
        <v>5887.2150177956855</v>
      </c>
      <c r="I25" s="184">
        <f>'I. Datos de entrada'!C111*1000</f>
        <v>1404988.3754370422</v>
      </c>
      <c r="J25" s="175">
        <f>'I. Datos de entrada'!D111*1000</f>
        <v>1897686.395701871</v>
      </c>
      <c r="K25" s="175">
        <f>'I. Datos de entrada'!E111*1000</f>
        <v>1842684.9653404776</v>
      </c>
      <c r="L25" s="175">
        <f>'I. Datos de entrada'!F111*1000</f>
        <v>2139388.6995427618</v>
      </c>
      <c r="M25" s="175">
        <f>'I. Datos de entrada'!G111*1000</f>
        <v>990493.6198667516</v>
      </c>
      <c r="N25" s="176">
        <f>'I. Datos de entrada'!H111*1000</f>
        <v>10383261.226178467</v>
      </c>
    </row>
    <row r="26" spans="1:14" ht="13.15" thickBot="1" x14ac:dyDescent="0.4">
      <c r="A26" s="166"/>
      <c r="B26" s="167"/>
      <c r="C26" s="167"/>
      <c r="D26" s="167"/>
      <c r="E26" s="167"/>
      <c r="F26" s="167"/>
      <c r="G26" s="167"/>
      <c r="I26" s="167">
        <f>SUM(I21:I25)-'I. Datos de entrada'!C113*1000</f>
        <v>0</v>
      </c>
      <c r="J26" s="167">
        <f>SUM(J21:J25)-'I. Datos de entrada'!D113*1000</f>
        <v>0</v>
      </c>
      <c r="K26" s="167">
        <f>SUM(K21:K25)-'I. Datos de entrada'!E113*1000</f>
        <v>0</v>
      </c>
      <c r="L26" s="167">
        <f>SUM(L21:L25)-'I. Datos de entrada'!F113*1000</f>
        <v>0</v>
      </c>
      <c r="M26" s="167">
        <f>SUM(M21:M25)-'I. Datos de entrada'!G113*1000</f>
        <v>0</v>
      </c>
      <c r="N26" s="167">
        <f>SUM(N21:N25)-'I. Datos de entrada'!H113*1000</f>
        <v>0</v>
      </c>
    </row>
    <row r="27" spans="1:14" ht="24" customHeight="1" x14ac:dyDescent="0.35">
      <c r="A27" s="634" t="s">
        <v>50</v>
      </c>
      <c r="B27" s="162" t="s">
        <v>103</v>
      </c>
      <c r="C27" s="162"/>
      <c r="D27" s="162"/>
      <c r="E27" s="162"/>
      <c r="F27" s="162"/>
      <c r="G27" s="163"/>
      <c r="I27" s="180" t="s">
        <v>108</v>
      </c>
      <c r="J27" s="162"/>
      <c r="K27" s="162"/>
      <c r="L27" s="162"/>
      <c r="M27" s="162"/>
      <c r="N27" s="163"/>
    </row>
    <row r="28" spans="1:14" ht="24" customHeight="1" x14ac:dyDescent="0.35">
      <c r="A28" s="635"/>
      <c r="B28" s="164" t="s">
        <v>15</v>
      </c>
      <c r="C28" s="164" t="s">
        <v>16</v>
      </c>
      <c r="D28" s="164" t="s">
        <v>17</v>
      </c>
      <c r="E28" s="164" t="s">
        <v>18</v>
      </c>
      <c r="F28" s="164" t="s">
        <v>19</v>
      </c>
      <c r="G28" s="165" t="s">
        <v>20</v>
      </c>
      <c r="I28" s="181" t="s">
        <v>15</v>
      </c>
      <c r="J28" s="164" t="s">
        <v>16</v>
      </c>
      <c r="K28" s="164" t="s">
        <v>17</v>
      </c>
      <c r="L28" s="164" t="s">
        <v>18</v>
      </c>
      <c r="M28" s="164" t="s">
        <v>19</v>
      </c>
      <c r="N28" s="165" t="s">
        <v>20</v>
      </c>
    </row>
    <row r="29" spans="1:14" ht="15" customHeight="1" x14ac:dyDescent="0.35">
      <c r="A29" s="168" t="s">
        <v>10</v>
      </c>
      <c r="B29" s="202">
        <f>B13/B21</f>
        <v>1.8388131823972982</v>
      </c>
      <c r="C29" s="202">
        <f t="shared" ref="B29:G33" si="0">C13/C21</f>
        <v>0.93106274937589129</v>
      </c>
      <c r="D29" s="202">
        <f t="shared" si="0"/>
        <v>0.28368530163176392</v>
      </c>
      <c r="E29" s="202">
        <f t="shared" si="0"/>
        <v>0.15315013320462434</v>
      </c>
      <c r="F29" s="202">
        <f t="shared" si="0"/>
        <v>2.8312640211685613E-3</v>
      </c>
      <c r="G29" s="203">
        <f t="shared" si="0"/>
        <v>3.6780615262961597E-3</v>
      </c>
      <c r="I29" s="208">
        <f t="shared" ref="I29:N33" si="1">I13/I21</f>
        <v>6.4190565877730752E-3</v>
      </c>
      <c r="J29" s="209">
        <f t="shared" si="1"/>
        <v>2.7210570539338438E-3</v>
      </c>
      <c r="K29" s="209">
        <f t="shared" si="1"/>
        <v>9.1961091357015612E-4</v>
      </c>
      <c r="L29" s="209">
        <f t="shared" si="1"/>
        <v>4.7528971352375142E-4</v>
      </c>
      <c r="M29" s="209">
        <f>M13/M21</f>
        <v>2.4731054965872661E-5</v>
      </c>
      <c r="N29" s="210">
        <f t="shared" si="1"/>
        <v>2.8325419185508605E-6</v>
      </c>
    </row>
    <row r="30" spans="1:14" ht="15" customHeight="1" x14ac:dyDescent="0.35">
      <c r="A30" s="171" t="s">
        <v>11</v>
      </c>
      <c r="B30" s="204">
        <f t="shared" si="0"/>
        <v>5.441768401630438</v>
      </c>
      <c r="C30" s="204">
        <f t="shared" si="0"/>
        <v>2.8237551865533401</v>
      </c>
      <c r="D30" s="204">
        <f t="shared" si="0"/>
        <v>0.9699056074058473</v>
      </c>
      <c r="E30" s="204">
        <f t="shared" si="0"/>
        <v>0.61537619231047869</v>
      </c>
      <c r="F30" s="204">
        <f t="shared" si="0"/>
        <v>1.3995325977108432E-2</v>
      </c>
      <c r="G30" s="205">
        <f t="shared" si="0"/>
        <v>6.3161847381236896E-3</v>
      </c>
      <c r="I30" s="211">
        <f t="shared" si="1"/>
        <v>6.0984628725395586E-3</v>
      </c>
      <c r="J30" s="212">
        <f t="shared" si="1"/>
        <v>2.6219985792541307E-3</v>
      </c>
      <c r="K30" s="212">
        <f t="shared" si="1"/>
        <v>9.300993968573407E-4</v>
      </c>
      <c r="L30" s="212">
        <f t="shared" si="1"/>
        <v>4.8532385315558591E-4</v>
      </c>
      <c r="M30" s="212">
        <f t="shared" si="1"/>
        <v>2.5335360233141538E-5</v>
      </c>
      <c r="N30" s="213">
        <f t="shared" si="1"/>
        <v>2.6624504489498591E-6</v>
      </c>
    </row>
    <row r="31" spans="1:14" ht="15" customHeight="1" x14ac:dyDescent="0.35">
      <c r="A31" s="171" t="s">
        <v>12</v>
      </c>
      <c r="B31" s="204">
        <f t="shared" si="0"/>
        <v>6.0356558703143941</v>
      </c>
      <c r="C31" s="204">
        <f>C15/C23</f>
        <v>3.1838877844760236</v>
      </c>
      <c r="D31" s="204">
        <f t="shared" si="0"/>
        <v>0.91900476723321545</v>
      </c>
      <c r="E31" s="204">
        <f t="shared" si="0"/>
        <v>0.52413031301646951</v>
      </c>
      <c r="F31" s="204">
        <f t="shared" si="0"/>
        <v>1.4254137030985815E-2</v>
      </c>
      <c r="G31" s="205">
        <f t="shared" si="0"/>
        <v>7.6301273287108489E-3</v>
      </c>
      <c r="I31" s="211">
        <f t="shared" si="1"/>
        <v>5.2619941605306147E-3</v>
      </c>
      <c r="J31" s="212">
        <f t="shared" si="1"/>
        <v>2.2505436059746466E-3</v>
      </c>
      <c r="K31" s="212">
        <f t="shared" si="1"/>
        <v>7.9918035495433136E-4</v>
      </c>
      <c r="L31" s="212">
        <f t="shared" si="1"/>
        <v>4.1457902902351752E-4</v>
      </c>
      <c r="M31" s="212">
        <f t="shared" si="1"/>
        <v>2.1298795030360889E-5</v>
      </c>
      <c r="N31" s="213">
        <f t="shared" si="1"/>
        <v>2.2386055595413587E-6</v>
      </c>
    </row>
    <row r="32" spans="1:14" ht="15" customHeight="1" x14ac:dyDescent="0.35">
      <c r="A32" s="171" t="s">
        <v>13</v>
      </c>
      <c r="B32" s="204">
        <f t="shared" si="0"/>
        <v>5.326489305142708</v>
      </c>
      <c r="C32" s="204">
        <f t="shared" si="0"/>
        <v>3.0671020506453726</v>
      </c>
      <c r="D32" s="204">
        <f t="shared" si="0"/>
        <v>1.0276325923238747</v>
      </c>
      <c r="E32" s="204">
        <f t="shared" si="0"/>
        <v>0.62327373406659092</v>
      </c>
      <c r="F32" s="204">
        <f t="shared" si="0"/>
        <v>1.4734054972043326E-2</v>
      </c>
      <c r="G32" s="205">
        <f t="shared" si="0"/>
        <v>9.3072958023279889E-3</v>
      </c>
      <c r="I32" s="211">
        <f t="shared" si="1"/>
        <v>5.8971936706409657E-3</v>
      </c>
      <c r="J32" s="212">
        <f t="shared" si="1"/>
        <v>2.4987689992420101E-3</v>
      </c>
      <c r="K32" s="212">
        <f t="shared" si="1"/>
        <v>8.9690292439926122E-4</v>
      </c>
      <c r="L32" s="212">
        <f t="shared" si="1"/>
        <v>4.7645028348781445E-4</v>
      </c>
      <c r="M32" s="212">
        <f t="shared" si="1"/>
        <v>2.4814443855793299E-5</v>
      </c>
      <c r="N32" s="213">
        <f t="shared" si="1"/>
        <v>2.5697905167619725E-6</v>
      </c>
    </row>
    <row r="33" spans="1:14" ht="15" customHeight="1" thickBot="1" x14ac:dyDescent="0.4">
      <c r="A33" s="174" t="s">
        <v>14</v>
      </c>
      <c r="B33" s="206">
        <f t="shared" si="0"/>
        <v>6.5902151902263615</v>
      </c>
      <c r="C33" s="206">
        <f t="shared" si="0"/>
        <v>3.9399802141963742</v>
      </c>
      <c r="D33" s="206">
        <f t="shared" si="0"/>
        <v>0.9568170686841031</v>
      </c>
      <c r="E33" s="206">
        <f t="shared" si="0"/>
        <v>0.66508137945730939</v>
      </c>
      <c r="F33" s="206">
        <f t="shared" si="0"/>
        <v>1.9779394743031593E-2</v>
      </c>
      <c r="G33" s="207">
        <f t="shared" si="0"/>
        <v>1.318057672050933E-2</v>
      </c>
      <c r="I33" s="214">
        <f t="shared" si="1"/>
        <v>7.9439579500348405E-3</v>
      </c>
      <c r="J33" s="215">
        <f t="shared" si="1"/>
        <v>3.5685562471267393E-3</v>
      </c>
      <c r="K33" s="215">
        <f t="shared" si="1"/>
        <v>1.2883551336276815E-3</v>
      </c>
      <c r="L33" s="215">
        <f t="shared" si="1"/>
        <v>6.8109786943363042E-4</v>
      </c>
      <c r="M33" s="215">
        <f t="shared" si="1"/>
        <v>3.5896209238747514E-5</v>
      </c>
      <c r="N33" s="216">
        <f t="shared" si="1"/>
        <v>3.5184112363593827E-6</v>
      </c>
    </row>
    <row r="34" spans="1:14" x14ac:dyDescent="0.35">
      <c r="B34" s="290"/>
      <c r="C34" s="290"/>
      <c r="D34" s="290"/>
      <c r="E34" s="290"/>
      <c r="F34" s="290"/>
      <c r="G34" s="290"/>
    </row>
    <row r="35" spans="1:14" s="5" customFormat="1" ht="16.5" customHeight="1" x14ac:dyDescent="0.35">
      <c r="A35" s="5" t="s">
        <v>110</v>
      </c>
    </row>
    <row r="36" spans="1:14" ht="5.25" customHeight="1" thickBot="1" x14ac:dyDescent="0.4">
      <c r="A36" s="191"/>
      <c r="B36" s="192"/>
      <c r="C36" s="40"/>
    </row>
    <row r="37" spans="1:14" ht="18" customHeight="1" x14ac:dyDescent="0.35">
      <c r="A37" s="634" t="s">
        <v>50</v>
      </c>
      <c r="B37" s="162" t="s">
        <v>92</v>
      </c>
      <c r="C37" s="162"/>
      <c r="D37" s="162"/>
      <c r="E37" s="162"/>
      <c r="F37" s="162"/>
      <c r="G37" s="163"/>
      <c r="I37" s="180" t="s">
        <v>93</v>
      </c>
      <c r="J37" s="162"/>
      <c r="K37" s="162"/>
      <c r="L37" s="162"/>
      <c r="M37" s="162"/>
      <c r="N37" s="163"/>
    </row>
    <row r="38" spans="1:14" ht="18" customHeight="1" x14ac:dyDescent="0.35">
      <c r="A38" s="635"/>
      <c r="B38" s="164" t="s">
        <v>15</v>
      </c>
      <c r="C38" s="164" t="s">
        <v>16</v>
      </c>
      <c r="D38" s="164" t="s">
        <v>17</v>
      </c>
      <c r="E38" s="164" t="s">
        <v>18</v>
      </c>
      <c r="F38" s="164" t="s">
        <v>19</v>
      </c>
      <c r="G38" s="165" t="s">
        <v>20</v>
      </c>
      <c r="I38" s="181" t="s">
        <v>15</v>
      </c>
      <c r="J38" s="164" t="s">
        <v>16</v>
      </c>
      <c r="K38" s="164" t="s">
        <v>17</v>
      </c>
      <c r="L38" s="164" t="s">
        <v>18</v>
      </c>
      <c r="M38" s="164" t="s">
        <v>19</v>
      </c>
      <c r="N38" s="165" t="s">
        <v>20</v>
      </c>
    </row>
    <row r="39" spans="1:14" ht="15" customHeight="1" x14ac:dyDescent="0.35">
      <c r="A39" s="168" t="s">
        <v>10</v>
      </c>
      <c r="B39" s="193">
        <f t="shared" ref="B39:G43" si="2">B29/$G29</f>
        <v>499.94084363482608</v>
      </c>
      <c r="C39" s="193">
        <f t="shared" si="2"/>
        <v>253.13952545907509</v>
      </c>
      <c r="D39" s="193">
        <f t="shared" si="2"/>
        <v>77.129025603178945</v>
      </c>
      <c r="E39" s="193">
        <f t="shared" si="2"/>
        <v>41.638817651549147</v>
      </c>
      <c r="F39" s="193">
        <f t="shared" si="2"/>
        <v>0.76977070691355975</v>
      </c>
      <c r="G39" s="196">
        <f t="shared" si="2"/>
        <v>1</v>
      </c>
      <c r="I39" s="195">
        <f t="shared" ref="I39:N43" si="3">I29/$N29</f>
        <v>2266.1823804736805</v>
      </c>
      <c r="J39" s="193">
        <f t="shared" si="3"/>
        <v>960.64140696846141</v>
      </c>
      <c r="K39" s="193">
        <f t="shared" si="3"/>
        <v>324.65924248020752</v>
      </c>
      <c r="L39" s="193">
        <f t="shared" si="3"/>
        <v>167.79617996506528</v>
      </c>
      <c r="M39" s="193">
        <f>M29/$N29</f>
        <v>8.7310464159080006</v>
      </c>
      <c r="N39" s="196">
        <f t="shared" si="3"/>
        <v>1</v>
      </c>
    </row>
    <row r="40" spans="1:14" ht="15" customHeight="1" x14ac:dyDescent="0.35">
      <c r="A40" s="171" t="s">
        <v>11</v>
      </c>
      <c r="B40" s="194">
        <f t="shared" si="2"/>
        <v>861.55941082353309</v>
      </c>
      <c r="C40" s="194">
        <f t="shared" si="2"/>
        <v>447.06659219599959</v>
      </c>
      <c r="D40" s="194">
        <f t="shared" si="2"/>
        <v>153.55877758793534</v>
      </c>
      <c r="E40" s="194">
        <f t="shared" si="2"/>
        <v>97.428466364535865</v>
      </c>
      <c r="F40" s="194">
        <f t="shared" si="2"/>
        <v>2.2157879411972261</v>
      </c>
      <c r="G40" s="198">
        <f t="shared" si="2"/>
        <v>1</v>
      </c>
      <c r="I40" s="197">
        <f t="shared" si="3"/>
        <v>2290.5451160396069</v>
      </c>
      <c r="J40" s="194">
        <f t="shared" si="3"/>
        <v>984.80652674242867</v>
      </c>
      <c r="K40" s="194">
        <f t="shared" si="3"/>
        <v>349.33960826358157</v>
      </c>
      <c r="L40" s="194">
        <f t="shared" si="3"/>
        <v>182.28465185033227</v>
      </c>
      <c r="M40" s="194">
        <f t="shared" si="3"/>
        <v>9.5158053525970683</v>
      </c>
      <c r="N40" s="198">
        <f t="shared" si="3"/>
        <v>1</v>
      </c>
    </row>
    <row r="41" spans="1:14" ht="15" customHeight="1" x14ac:dyDescent="0.35">
      <c r="A41" s="171" t="s">
        <v>12</v>
      </c>
      <c r="B41" s="194">
        <f t="shared" si="2"/>
        <v>791.02950845961186</v>
      </c>
      <c r="C41" s="194">
        <f t="shared" si="2"/>
        <v>417.27846041252872</v>
      </c>
      <c r="D41" s="194">
        <f t="shared" si="2"/>
        <v>120.4442242759383</v>
      </c>
      <c r="E41" s="194">
        <f t="shared" si="2"/>
        <v>68.692210553847218</v>
      </c>
      <c r="F41" s="194">
        <f t="shared" si="2"/>
        <v>1.8681388156328615</v>
      </c>
      <c r="G41" s="198">
        <f t="shared" si="2"/>
        <v>1</v>
      </c>
      <c r="I41" s="197">
        <f t="shared" si="3"/>
        <v>2350.5678068666471</v>
      </c>
      <c r="J41" s="194">
        <f t="shared" si="3"/>
        <v>1005.3328047821582</v>
      </c>
      <c r="K41" s="194">
        <f t="shared" si="3"/>
        <v>356.99918261530001</v>
      </c>
      <c r="L41" s="194">
        <f t="shared" si="3"/>
        <v>185.19521103505866</v>
      </c>
      <c r="M41" s="194">
        <f t="shared" si="3"/>
        <v>9.5143134705358925</v>
      </c>
      <c r="N41" s="198">
        <f t="shared" si="3"/>
        <v>1</v>
      </c>
    </row>
    <row r="42" spans="1:14" ht="15" customHeight="1" x14ac:dyDescent="0.35">
      <c r="A42" s="171" t="s">
        <v>13</v>
      </c>
      <c r="B42" s="194">
        <f t="shared" si="2"/>
        <v>572.29182549569543</v>
      </c>
      <c r="C42" s="194">
        <f t="shared" si="2"/>
        <v>329.53739902391555</v>
      </c>
      <c r="D42" s="194">
        <f t="shared" si="2"/>
        <v>110.41151094250577</v>
      </c>
      <c r="E42" s="194">
        <f t="shared" si="2"/>
        <v>66.966146483782595</v>
      </c>
      <c r="F42" s="194">
        <f t="shared" si="2"/>
        <v>1.5830650798009416</v>
      </c>
      <c r="G42" s="198">
        <f t="shared" si="2"/>
        <v>1</v>
      </c>
      <c r="I42" s="197">
        <f t="shared" si="3"/>
        <v>2294.8149400409648</v>
      </c>
      <c r="J42" s="194">
        <f t="shared" si="3"/>
        <v>972.36291555412379</v>
      </c>
      <c r="K42" s="194">
        <f t="shared" si="3"/>
        <v>349.01791354160292</v>
      </c>
      <c r="L42" s="194">
        <f t="shared" si="3"/>
        <v>185.40432785476958</v>
      </c>
      <c r="M42" s="194">
        <f t="shared" si="3"/>
        <v>9.6562127122565542</v>
      </c>
      <c r="N42" s="198">
        <f t="shared" si="3"/>
        <v>1</v>
      </c>
    </row>
    <row r="43" spans="1:14" ht="15" customHeight="1" thickBot="1" x14ac:dyDescent="0.4">
      <c r="A43" s="174" t="s">
        <v>14</v>
      </c>
      <c r="B43" s="200">
        <f t="shared" si="2"/>
        <v>499.99444864744123</v>
      </c>
      <c r="C43" s="200">
        <f t="shared" si="2"/>
        <v>298.92320326664156</v>
      </c>
      <c r="D43" s="200">
        <f t="shared" si="2"/>
        <v>72.59295924398134</v>
      </c>
      <c r="E43" s="200">
        <f t="shared" si="2"/>
        <v>50.459201714779667</v>
      </c>
      <c r="F43" s="200">
        <f t="shared" si="2"/>
        <v>1.5006471387746125</v>
      </c>
      <c r="G43" s="201">
        <f t="shared" si="2"/>
        <v>1</v>
      </c>
      <c r="I43" s="199">
        <f t="shared" si="3"/>
        <v>2257.8253127268654</v>
      </c>
      <c r="J43" s="200">
        <f t="shared" si="3"/>
        <v>1014.2521744613467</v>
      </c>
      <c r="K43" s="200">
        <f t="shared" si="3"/>
        <v>366.17525555676247</v>
      </c>
      <c r="L43" s="200">
        <f t="shared" si="3"/>
        <v>193.58108637078624</v>
      </c>
      <c r="M43" s="200">
        <f t="shared" si="3"/>
        <v>10.202391598740606</v>
      </c>
      <c r="N43" s="201">
        <f t="shared" si="3"/>
        <v>1</v>
      </c>
    </row>
    <row r="65" spans="1:14" s="5" customFormat="1" ht="16.5" customHeight="1" x14ac:dyDescent="0.35">
      <c r="A65" s="5" t="s">
        <v>111</v>
      </c>
    </row>
    <row r="66" spans="1:14" ht="13.15" thickBot="1" x14ac:dyDescent="0.4">
      <c r="A66" s="191"/>
      <c r="B66" s="192"/>
      <c r="C66" s="40"/>
    </row>
    <row r="67" spans="1:14" ht="18" customHeight="1" x14ac:dyDescent="0.35">
      <c r="A67" s="634" t="s">
        <v>50</v>
      </c>
      <c r="B67" s="162" t="s">
        <v>92</v>
      </c>
      <c r="C67" s="162"/>
      <c r="D67" s="162"/>
      <c r="E67" s="162"/>
      <c r="F67" s="162"/>
      <c r="G67" s="163"/>
      <c r="I67" s="180" t="s">
        <v>93</v>
      </c>
      <c r="J67" s="162"/>
      <c r="K67" s="162"/>
      <c r="L67" s="162"/>
      <c r="M67" s="162"/>
      <c r="N67" s="163"/>
    </row>
    <row r="68" spans="1:14" ht="18" customHeight="1" x14ac:dyDescent="0.35">
      <c r="A68" s="635"/>
      <c r="B68" s="164" t="s">
        <v>15</v>
      </c>
      <c r="C68" s="164" t="s">
        <v>16</v>
      </c>
      <c r="D68" s="164" t="s">
        <v>17</v>
      </c>
      <c r="E68" s="164" t="s">
        <v>18</v>
      </c>
      <c r="F68" s="164" t="s">
        <v>19</v>
      </c>
      <c r="G68" s="165" t="s">
        <v>20</v>
      </c>
      <c r="I68" s="181" t="s">
        <v>15</v>
      </c>
      <c r="J68" s="164" t="s">
        <v>16</v>
      </c>
      <c r="K68" s="164" t="s">
        <v>17</v>
      </c>
      <c r="L68" s="164" t="s">
        <v>18</v>
      </c>
      <c r="M68" s="164" t="s">
        <v>19</v>
      </c>
      <c r="N68" s="165" t="s">
        <v>20</v>
      </c>
    </row>
    <row r="69" spans="1:14" ht="18" customHeight="1" x14ac:dyDescent="0.35">
      <c r="A69" s="168" t="s">
        <v>10</v>
      </c>
      <c r="B69" s="537">
        <f t="shared" ref="B69:G73" si="4">B29/B$33</f>
        <v>0.27902172073597165</v>
      </c>
      <c r="C69" s="537">
        <f t="shared" si="4"/>
        <v>0.23631152918512746</v>
      </c>
      <c r="D69" s="537">
        <f t="shared" si="4"/>
        <v>0.29648854615638526</v>
      </c>
      <c r="E69" s="537">
        <f t="shared" si="4"/>
        <v>0.2302727725283652</v>
      </c>
      <c r="F69" s="537">
        <f t="shared" si="4"/>
        <v>0.14314209600200398</v>
      </c>
      <c r="G69" s="538">
        <f t="shared" si="4"/>
        <v>0.27905163820130857</v>
      </c>
      <c r="I69" s="195">
        <f t="shared" ref="I69:N73" si="5">I29/I$33</f>
        <v>0.80804261907566144</v>
      </c>
      <c r="J69" s="193">
        <f t="shared" si="5"/>
        <v>0.76250922375813235</v>
      </c>
      <c r="K69" s="193">
        <f t="shared" si="5"/>
        <v>0.71378681977287184</v>
      </c>
      <c r="L69" s="193">
        <f t="shared" si="5"/>
        <v>0.69782880677483317</v>
      </c>
      <c r="M69" s="193">
        <f t="shared" si="5"/>
        <v>0.68896007378899415</v>
      </c>
      <c r="N69" s="196">
        <f t="shared" si="5"/>
        <v>0.8050627764256989</v>
      </c>
    </row>
    <row r="70" spans="1:14" ht="18" customHeight="1" x14ac:dyDescent="0.35">
      <c r="A70" s="171" t="s">
        <v>11</v>
      </c>
      <c r="B70" s="539">
        <f t="shared" si="4"/>
        <v>0.82573455411605812</v>
      </c>
      <c r="C70" s="539">
        <f t="shared" si="4"/>
        <v>0.71669273271446943</v>
      </c>
      <c r="D70" s="539">
        <f t="shared" si="4"/>
        <v>1.0136792487823663</v>
      </c>
      <c r="E70" s="539">
        <f t="shared" si="4"/>
        <v>0.92526450343958067</v>
      </c>
      <c r="F70" s="539">
        <f t="shared" si="4"/>
        <v>0.70757099289092629</v>
      </c>
      <c r="G70" s="540">
        <f t="shared" si="4"/>
        <v>0.47920397354810257</v>
      </c>
      <c r="I70" s="197">
        <f t="shared" si="5"/>
        <v>0.76768569407052467</v>
      </c>
      <c r="J70" s="194">
        <f t="shared" si="5"/>
        <v>0.73475052589272216</v>
      </c>
      <c r="K70" s="194">
        <f t="shared" si="5"/>
        <v>0.72192780746595586</v>
      </c>
      <c r="L70" s="194">
        <f t="shared" si="5"/>
        <v>0.71256110896244451</v>
      </c>
      <c r="M70" s="194">
        <f t="shared" si="5"/>
        <v>0.70579486721382667</v>
      </c>
      <c r="N70" s="198">
        <f t="shared" si="5"/>
        <v>0.75671951630781664</v>
      </c>
    </row>
    <row r="71" spans="1:14" ht="18" customHeight="1" x14ac:dyDescent="0.35">
      <c r="A71" s="171" t="s">
        <v>12</v>
      </c>
      <c r="B71" s="539">
        <f t="shared" si="4"/>
        <v>0.91585110593438457</v>
      </c>
      <c r="C71" s="539">
        <f t="shared" si="4"/>
        <v>0.80809740439913136</v>
      </c>
      <c r="D71" s="539">
        <f t="shared" si="4"/>
        <v>0.96048115915940924</v>
      </c>
      <c r="E71" s="539">
        <f t="shared" si="4"/>
        <v>0.78806944413952384</v>
      </c>
      <c r="F71" s="539">
        <f t="shared" si="4"/>
        <v>0.72065587527685282</v>
      </c>
      <c r="G71" s="540">
        <f t="shared" si="4"/>
        <v>0.57889176555060495</v>
      </c>
      <c r="I71" s="197">
        <f t="shared" si="5"/>
        <v>0.66238947809479998</v>
      </c>
      <c r="J71" s="194">
        <f t="shared" si="5"/>
        <v>0.63065941801721503</v>
      </c>
      <c r="K71" s="194">
        <f t="shared" si="5"/>
        <v>0.62031060698616691</v>
      </c>
      <c r="L71" s="194">
        <f t="shared" si="5"/>
        <v>0.60869230051807721</v>
      </c>
      <c r="M71" s="194">
        <f t="shared" si="5"/>
        <v>0.59334385112092258</v>
      </c>
      <c r="N71" s="198">
        <f t="shared" si="5"/>
        <v>0.63625466415282328</v>
      </c>
    </row>
    <row r="72" spans="1:14" ht="18" customHeight="1" x14ac:dyDescent="0.35">
      <c r="A72" s="171" t="s">
        <v>13</v>
      </c>
      <c r="B72" s="539">
        <f t="shared" si="4"/>
        <v>0.80824209094752686</v>
      </c>
      <c r="C72" s="539">
        <f t="shared" si="4"/>
        <v>0.77845620635203117</v>
      </c>
      <c r="D72" s="539">
        <f t="shared" si="4"/>
        <v>1.0740115597406339</v>
      </c>
      <c r="E72" s="539">
        <f t="shared" si="4"/>
        <v>0.93713905293088717</v>
      </c>
      <c r="F72" s="539">
        <f t="shared" si="4"/>
        <v>0.74491940544511492</v>
      </c>
      <c r="G72" s="540">
        <f t="shared" si="4"/>
        <v>0.70613721991736422</v>
      </c>
      <c r="I72" s="197">
        <f t="shared" si="5"/>
        <v>0.74234955770569022</v>
      </c>
      <c r="J72" s="194">
        <f t="shared" si="5"/>
        <v>0.70021847105644486</v>
      </c>
      <c r="K72" s="194">
        <f t="shared" si="5"/>
        <v>0.69616125320493727</v>
      </c>
      <c r="L72" s="194">
        <f t="shared" si="5"/>
        <v>0.69953277622789878</v>
      </c>
      <c r="M72" s="194">
        <f t="shared" si="5"/>
        <v>0.69128312938982417</v>
      </c>
      <c r="N72" s="198">
        <f t="shared" si="5"/>
        <v>0.73038378521693792</v>
      </c>
    </row>
    <row r="73" spans="1:14" ht="18" customHeight="1" thickBot="1" x14ac:dyDescent="0.4">
      <c r="A73" s="174" t="s">
        <v>14</v>
      </c>
      <c r="B73" s="541">
        <f t="shared" si="4"/>
        <v>1</v>
      </c>
      <c r="C73" s="541">
        <f t="shared" si="4"/>
        <v>1</v>
      </c>
      <c r="D73" s="541">
        <f t="shared" si="4"/>
        <v>1</v>
      </c>
      <c r="E73" s="541">
        <f t="shared" si="4"/>
        <v>1</v>
      </c>
      <c r="F73" s="541">
        <f t="shared" si="4"/>
        <v>1</v>
      </c>
      <c r="G73" s="542">
        <f t="shared" si="4"/>
        <v>1</v>
      </c>
      <c r="I73" s="199">
        <f t="shared" si="5"/>
        <v>1</v>
      </c>
      <c r="J73" s="200">
        <f t="shared" si="5"/>
        <v>1</v>
      </c>
      <c r="K73" s="200">
        <f t="shared" si="5"/>
        <v>1</v>
      </c>
      <c r="L73" s="200">
        <f t="shared" si="5"/>
        <v>1</v>
      </c>
      <c r="M73" s="200">
        <f t="shared" si="5"/>
        <v>1</v>
      </c>
      <c r="N73" s="201">
        <f t="shared" si="5"/>
        <v>1</v>
      </c>
    </row>
    <row r="75" spans="1:14" s="5" customFormat="1" ht="16.5" customHeight="1" x14ac:dyDescent="0.35">
      <c r="A75" s="5" t="s">
        <v>118</v>
      </c>
    </row>
    <row r="76" spans="1:14" ht="13.15" thickBot="1" x14ac:dyDescent="0.4"/>
    <row r="77" spans="1:14" ht="18" customHeight="1" x14ac:dyDescent="0.35">
      <c r="A77" s="634" t="s">
        <v>94</v>
      </c>
      <c r="B77" s="162" t="s">
        <v>119</v>
      </c>
      <c r="C77" s="162"/>
      <c r="D77" s="162"/>
      <c r="E77" s="162"/>
      <c r="F77" s="162"/>
      <c r="G77" s="163"/>
      <c r="I77" s="180" t="s">
        <v>120</v>
      </c>
      <c r="J77" s="162"/>
      <c r="K77" s="162"/>
      <c r="L77" s="162"/>
      <c r="M77" s="162"/>
      <c r="N77" s="163"/>
    </row>
    <row r="78" spans="1:14" ht="18" customHeight="1" thickBot="1" x14ac:dyDescent="0.4">
      <c r="A78" s="635"/>
      <c r="B78" s="164" t="s">
        <v>15</v>
      </c>
      <c r="C78" s="164" t="s">
        <v>16</v>
      </c>
      <c r="D78" s="164" t="s">
        <v>17</v>
      </c>
      <c r="E78" s="164" t="s">
        <v>18</v>
      </c>
      <c r="F78" s="164" t="s">
        <v>19</v>
      </c>
      <c r="G78" s="165" t="s">
        <v>20</v>
      </c>
      <c r="I78" s="559" t="s">
        <v>15</v>
      </c>
      <c r="J78" s="560" t="s">
        <v>16</v>
      </c>
      <c r="K78" s="560" t="s">
        <v>17</v>
      </c>
      <c r="L78" s="560" t="s">
        <v>18</v>
      </c>
      <c r="M78" s="560" t="s">
        <v>19</v>
      </c>
      <c r="N78" s="561" t="s">
        <v>20</v>
      </c>
    </row>
    <row r="79" spans="1:14" ht="18" customHeight="1" x14ac:dyDescent="0.35">
      <c r="A79" s="222" t="s">
        <v>95</v>
      </c>
      <c r="B79" s="468">
        <f>SUM(B80:F80)</f>
        <v>3.2099729104973607</v>
      </c>
      <c r="C79" s="223">
        <f>G80</f>
        <v>3.261543887782875E-3</v>
      </c>
      <c r="D79" s="223"/>
      <c r="E79" s="223"/>
      <c r="F79" s="223"/>
      <c r="G79" s="224"/>
      <c r="I79" s="562">
        <f>I29</f>
        <v>6.4190565877730752E-3</v>
      </c>
      <c r="J79" s="563">
        <f t="shared" ref="J79:N79" si="6">J29</f>
        <v>2.7210570539338438E-3</v>
      </c>
      <c r="K79" s="563">
        <f t="shared" si="6"/>
        <v>9.1961091357015612E-4</v>
      </c>
      <c r="L79" s="563">
        <f t="shared" si="6"/>
        <v>4.7528971352375142E-4</v>
      </c>
      <c r="M79" s="563">
        <f t="shared" si="6"/>
        <v>2.4731054965872661E-5</v>
      </c>
      <c r="N79" s="564">
        <f t="shared" si="6"/>
        <v>2.8325419185508605E-6</v>
      </c>
    </row>
    <row r="80" spans="1:14" ht="18" customHeight="1" x14ac:dyDescent="0.35">
      <c r="A80" s="225" t="s">
        <v>96</v>
      </c>
      <c r="B80" s="497">
        <f t="shared" ref="B80:E84" si="7">B29</f>
        <v>1.8388131823972982</v>
      </c>
      <c r="C80" s="497">
        <f t="shared" si="7"/>
        <v>0.93106274937589129</v>
      </c>
      <c r="D80" s="226">
        <f t="shared" si="7"/>
        <v>0.28368530163176392</v>
      </c>
      <c r="E80" s="226">
        <f t="shared" si="7"/>
        <v>0.15315013320462434</v>
      </c>
      <c r="F80" s="497">
        <f>IF(F29&lt;G29,SUM(F13:G13)/SUM(F21:G21),F29)</f>
        <v>3.261543887782875E-3</v>
      </c>
      <c r="G80" s="227">
        <f>IF(F29&lt;G29,SUM(F13:G13)/SUM(F21:G21),G29)</f>
        <v>3.261543887782875E-3</v>
      </c>
      <c r="I80" s="234">
        <f t="shared" ref="I80:N84" si="8">I29</f>
        <v>6.4190565877730752E-3</v>
      </c>
      <c r="J80" s="232">
        <f t="shared" si="8"/>
        <v>2.7210570539338438E-3</v>
      </c>
      <c r="K80" s="232">
        <f t="shared" si="8"/>
        <v>9.1961091357015612E-4</v>
      </c>
      <c r="L80" s="232">
        <f t="shared" si="8"/>
        <v>4.7528971352375142E-4</v>
      </c>
      <c r="M80" s="232">
        <f t="shared" si="8"/>
        <v>2.4731054965872661E-5</v>
      </c>
      <c r="N80" s="235">
        <f t="shared" si="8"/>
        <v>2.8325419185508605E-6</v>
      </c>
    </row>
    <row r="81" spans="1:14" ht="18" customHeight="1" x14ac:dyDescent="0.35">
      <c r="A81" s="225" t="s">
        <v>97</v>
      </c>
      <c r="B81" s="497">
        <f t="shared" si="7"/>
        <v>5.441768401630438</v>
      </c>
      <c r="C81" s="497">
        <f t="shared" si="7"/>
        <v>2.8237551865533401</v>
      </c>
      <c r="D81" s="226">
        <f t="shared" si="7"/>
        <v>0.9699056074058473</v>
      </c>
      <c r="E81" s="226">
        <f t="shared" si="7"/>
        <v>0.61537619231047869</v>
      </c>
      <c r="F81" s="497">
        <f t="shared" ref="F81:F84" si="9">IF(F30&lt;G30,SUM(F14:G14)/SUM(F22:G22),F30)</f>
        <v>1.3995325977108432E-2</v>
      </c>
      <c r="G81" s="227">
        <f t="shared" ref="G81:G84" si="10">IF(F30&lt;G30,SUM(F14:G14)/SUM(F22:G22),G30)</f>
        <v>6.3161847381236896E-3</v>
      </c>
      <c r="I81" s="234">
        <f t="shared" si="8"/>
        <v>6.0984628725395586E-3</v>
      </c>
      <c r="J81" s="232">
        <f t="shared" si="8"/>
        <v>2.6219985792541307E-3</v>
      </c>
      <c r="K81" s="232">
        <f t="shared" si="8"/>
        <v>9.300993968573407E-4</v>
      </c>
      <c r="L81" s="232">
        <f t="shared" si="8"/>
        <v>4.8532385315558591E-4</v>
      </c>
      <c r="M81" s="232">
        <f t="shared" ref="M81:N81" si="11">M30</f>
        <v>2.5335360233141538E-5</v>
      </c>
      <c r="N81" s="235">
        <f t="shared" si="11"/>
        <v>2.6624504489498591E-6</v>
      </c>
    </row>
    <row r="82" spans="1:14" ht="18" customHeight="1" x14ac:dyDescent="0.35">
      <c r="A82" s="225" t="s">
        <v>98</v>
      </c>
      <c r="B82" s="497">
        <f t="shared" si="7"/>
        <v>6.0356558703143941</v>
      </c>
      <c r="C82" s="497">
        <f t="shared" si="7"/>
        <v>3.1838877844760236</v>
      </c>
      <c r="D82" s="226">
        <f t="shared" si="7"/>
        <v>0.91900476723321545</v>
      </c>
      <c r="E82" s="226">
        <f>E31</f>
        <v>0.52413031301646951</v>
      </c>
      <c r="F82" s="497">
        <f t="shared" si="9"/>
        <v>1.4254137030985815E-2</v>
      </c>
      <c r="G82" s="227">
        <f t="shared" si="10"/>
        <v>7.6301273287108489E-3</v>
      </c>
      <c r="I82" s="234">
        <f t="shared" si="8"/>
        <v>5.2619941605306147E-3</v>
      </c>
      <c r="J82" s="232">
        <f t="shared" si="8"/>
        <v>2.2505436059746466E-3</v>
      </c>
      <c r="K82" s="232">
        <f t="shared" si="8"/>
        <v>7.9918035495433136E-4</v>
      </c>
      <c r="L82" s="232">
        <f t="shared" si="8"/>
        <v>4.1457902902351752E-4</v>
      </c>
      <c r="M82" s="232">
        <f t="shared" ref="M82:N82" si="12">M31</f>
        <v>2.1298795030360889E-5</v>
      </c>
      <c r="N82" s="235">
        <f t="shared" si="12"/>
        <v>2.2386055595413587E-6</v>
      </c>
    </row>
    <row r="83" spans="1:14" ht="18" customHeight="1" x14ac:dyDescent="0.35">
      <c r="A83" s="225" t="s">
        <v>99</v>
      </c>
      <c r="B83" s="497">
        <f t="shared" si="7"/>
        <v>5.326489305142708</v>
      </c>
      <c r="C83" s="497">
        <f t="shared" si="7"/>
        <v>3.0671020506453726</v>
      </c>
      <c r="D83" s="226">
        <f t="shared" si="7"/>
        <v>1.0276325923238747</v>
      </c>
      <c r="E83" s="226">
        <f t="shared" si="7"/>
        <v>0.62327373406659092</v>
      </c>
      <c r="F83" s="497">
        <f t="shared" si="9"/>
        <v>1.4734054972043326E-2</v>
      </c>
      <c r="G83" s="227">
        <f t="shared" si="10"/>
        <v>9.3072958023279889E-3</v>
      </c>
      <c r="I83" s="234">
        <f t="shared" si="8"/>
        <v>5.8971936706409657E-3</v>
      </c>
      <c r="J83" s="232">
        <f t="shared" si="8"/>
        <v>2.4987689992420101E-3</v>
      </c>
      <c r="K83" s="232">
        <f t="shared" si="8"/>
        <v>8.9690292439926122E-4</v>
      </c>
      <c r="L83" s="232">
        <f t="shared" si="8"/>
        <v>4.7645028348781445E-4</v>
      </c>
      <c r="M83" s="232">
        <f t="shared" ref="M83:N83" si="13">M32</f>
        <v>2.4814443855793299E-5</v>
      </c>
      <c r="N83" s="235">
        <f t="shared" si="13"/>
        <v>2.5697905167619725E-6</v>
      </c>
    </row>
    <row r="84" spans="1:14" ht="18" customHeight="1" thickBot="1" x14ac:dyDescent="0.4">
      <c r="A84" s="228" t="s">
        <v>100</v>
      </c>
      <c r="B84" s="466">
        <f t="shared" si="7"/>
        <v>6.5902151902263615</v>
      </c>
      <c r="C84" s="466">
        <f t="shared" si="7"/>
        <v>3.9399802141963742</v>
      </c>
      <c r="D84" s="229">
        <f>D33</f>
        <v>0.9568170686841031</v>
      </c>
      <c r="E84" s="229">
        <f>E33</f>
        <v>0.66508137945730939</v>
      </c>
      <c r="F84" s="466">
        <f t="shared" si="9"/>
        <v>1.9779394743031593E-2</v>
      </c>
      <c r="G84" s="230">
        <f t="shared" si="10"/>
        <v>1.318057672050933E-2</v>
      </c>
      <c r="I84" s="236">
        <f t="shared" si="8"/>
        <v>7.9439579500348405E-3</v>
      </c>
      <c r="J84" s="237">
        <f t="shared" si="8"/>
        <v>3.5685562471267393E-3</v>
      </c>
      <c r="K84" s="237">
        <f t="shared" si="8"/>
        <v>1.2883551336276815E-3</v>
      </c>
      <c r="L84" s="237">
        <f t="shared" si="8"/>
        <v>6.8109786943363042E-4</v>
      </c>
      <c r="M84" s="237">
        <f t="shared" ref="M84:N84" si="14">M33</f>
        <v>3.5896209238747514E-5</v>
      </c>
      <c r="N84" s="498">
        <f t="shared" si="14"/>
        <v>3.5184112363593827E-6</v>
      </c>
    </row>
    <row r="86" spans="1:14" s="5" customFormat="1" ht="16.5" customHeight="1" x14ac:dyDescent="0.35">
      <c r="A86" s="5" t="s">
        <v>196</v>
      </c>
    </row>
    <row r="87" spans="1:14" ht="5.25" customHeight="1" thickBot="1" x14ac:dyDescent="0.4"/>
    <row r="88" spans="1:14" ht="22.5" customHeight="1" x14ac:dyDescent="0.35">
      <c r="A88" s="634" t="s">
        <v>94</v>
      </c>
      <c r="B88" s="162" t="s">
        <v>122</v>
      </c>
      <c r="C88" s="162"/>
      <c r="D88" s="162"/>
      <c r="E88" s="636" t="s">
        <v>121</v>
      </c>
    </row>
    <row r="89" spans="1:14" ht="30" customHeight="1" x14ac:dyDescent="0.35">
      <c r="A89" s="635"/>
      <c r="B89" s="239" t="s">
        <v>92</v>
      </c>
      <c r="C89" s="239" t="s">
        <v>93</v>
      </c>
      <c r="D89" s="239" t="s">
        <v>4</v>
      </c>
      <c r="E89" s="637"/>
    </row>
    <row r="90" spans="1:14" ht="18" customHeight="1" x14ac:dyDescent="0.35">
      <c r="A90" s="222" t="s">
        <v>95</v>
      </c>
      <c r="B90" s="240">
        <f>'I. Datos de entrada'!C120*B79+'I. Datos de entrada'!H120*C79</f>
        <v>413719.89070262777</v>
      </c>
      <c r="C90" s="242">
        <f>SUMPRODUCT(I79:N79,'I. Datos de entrada'!C106:H106)*1000</f>
        <v>91858.465272706686</v>
      </c>
      <c r="D90" s="241">
        <f>SUM(B90:C90)</f>
        <v>505578.35597533447</v>
      </c>
      <c r="E90" s="244">
        <f>B90/D90</f>
        <v>0.81831013098751371</v>
      </c>
    </row>
    <row r="91" spans="1:14" ht="18" customHeight="1" x14ac:dyDescent="0.35">
      <c r="A91" s="225" t="s">
        <v>96</v>
      </c>
      <c r="B91" s="242">
        <f>SUMPRODUCT(B80:G80,'I. Datos de entrada'!C121:H121)</f>
        <v>66107.244312590134</v>
      </c>
      <c r="C91" s="242">
        <f>SUMPRODUCT(I80:N80,'I. Datos de entrada'!C107:H107)*1000</f>
        <v>45728.854191771068</v>
      </c>
      <c r="D91" s="243">
        <f t="shared" ref="D91:D95" si="15">SUM(B91:C91)</f>
        <v>111836.0985043612</v>
      </c>
      <c r="E91" s="245">
        <f t="shared" ref="E91:E95" si="16">B91/D91</f>
        <v>0.59110828432567497</v>
      </c>
      <c r="F91" s="286"/>
      <c r="G91" s="238"/>
    </row>
    <row r="92" spans="1:14" ht="18" customHeight="1" x14ac:dyDescent="0.35">
      <c r="A92" s="225" t="s">
        <v>97</v>
      </c>
      <c r="B92" s="242">
        <f>SUMPRODUCT(B81:G81,'I. Datos de entrada'!C122:H122)</f>
        <v>189837.9568336099</v>
      </c>
      <c r="C92" s="242">
        <f>SUMPRODUCT(I81:N81,'I. Datos de entrada'!C108:H108)*1000</f>
        <v>76014.190557418624</v>
      </c>
      <c r="D92" s="243">
        <f t="shared" si="15"/>
        <v>265852.14739102853</v>
      </c>
      <c r="E92" s="245">
        <f t="shared" si="16"/>
        <v>0.71407343779844223</v>
      </c>
      <c r="F92" s="238"/>
      <c r="G92" s="238"/>
      <c r="I92" s="238"/>
    </row>
    <row r="93" spans="1:14" ht="18" customHeight="1" x14ac:dyDescent="0.35">
      <c r="A93" s="225" t="s">
        <v>98</v>
      </c>
      <c r="B93" s="242">
        <f>SUMPRODUCT(B82:G82,'I. Datos de entrada'!C123:H123)</f>
        <v>51885.269723365054</v>
      </c>
      <c r="C93" s="242">
        <f>SUMPRODUCT(I82:N82,'I. Datos de entrada'!C109:H109)*1000</f>
        <v>19783.420661200835</v>
      </c>
      <c r="D93" s="243">
        <f t="shared" si="15"/>
        <v>71668.690384565882</v>
      </c>
      <c r="E93" s="245">
        <f t="shared" si="16"/>
        <v>0.7239600646384734</v>
      </c>
      <c r="F93" s="238"/>
      <c r="G93" s="238"/>
      <c r="I93" s="238"/>
    </row>
    <row r="94" spans="1:14" ht="18" customHeight="1" x14ac:dyDescent="0.35">
      <c r="A94" s="225" t="s">
        <v>99</v>
      </c>
      <c r="B94" s="242">
        <f>SUMPRODUCT(B83:G83,'I. Datos de entrada'!C124:H124)</f>
        <v>21528.84004980067</v>
      </c>
      <c r="C94" s="242">
        <f>SUMPRODUCT(I83:N83,'I. Datos de entrada'!C110:H110)*1000</f>
        <v>9020.6307063178574</v>
      </c>
      <c r="D94" s="243">
        <f t="shared" si="15"/>
        <v>30549.470756118528</v>
      </c>
      <c r="E94" s="245">
        <f t="shared" si="16"/>
        <v>0.70472055708162529</v>
      </c>
      <c r="F94" s="238"/>
      <c r="G94" s="238"/>
      <c r="I94" s="238"/>
    </row>
    <row r="95" spans="1:14" ht="18" customHeight="1" thickBot="1" x14ac:dyDescent="0.4">
      <c r="A95" s="228" t="s">
        <v>100</v>
      </c>
      <c r="B95" s="246">
        <f>SUMPRODUCT(B84:G84,'I. Datos de entrada'!C125:H125)</f>
        <v>49646.750005240225</v>
      </c>
      <c r="C95" s="246">
        <f>SUMPRODUCT(I84:N84,'I. Datos de entrada'!C111:H111)*1000</f>
        <v>21836.422486329498</v>
      </c>
      <c r="D95" s="247">
        <f t="shared" si="15"/>
        <v>71483.172491569727</v>
      </c>
      <c r="E95" s="248">
        <f t="shared" si="16"/>
        <v>0.69452359590077295</v>
      </c>
      <c r="F95" s="238"/>
      <c r="G95" s="238"/>
    </row>
    <row r="96" spans="1:14" ht="7.5" customHeight="1" thickBot="1" x14ac:dyDescent="0.4"/>
    <row r="97" spans="1:5" ht="15.75" customHeight="1" thickBot="1" x14ac:dyDescent="0.4">
      <c r="A97" s="383" t="s">
        <v>1</v>
      </c>
      <c r="B97" s="377">
        <f>SUM(B90:B95)</f>
        <v>792725.95162723388</v>
      </c>
      <c r="C97" s="377">
        <f>SUM(C90:C95)</f>
        <v>264241.98387574457</v>
      </c>
      <c r="D97" s="378">
        <f>SUM(B97:C97)</f>
        <v>1056967.9355029785</v>
      </c>
      <c r="E97" s="384">
        <f>B97/D97</f>
        <v>0.75</v>
      </c>
    </row>
    <row r="98" spans="1:5" x14ac:dyDescent="0.35">
      <c r="C98" s="217"/>
      <c r="D98" s="74">
        <f>D97-'I. Datos de entrada'!C14</f>
        <v>0</v>
      </c>
    </row>
    <row r="100" spans="1:5" x14ac:dyDescent="0.35">
      <c r="B100" s="287"/>
      <c r="C100" s="286"/>
    </row>
    <row r="101" spans="1:5" x14ac:dyDescent="0.35">
      <c r="B101" s="287"/>
      <c r="C101" s="238"/>
    </row>
    <row r="103" spans="1:5" x14ac:dyDescent="0.35">
      <c r="B103" s="287"/>
    </row>
    <row r="104" spans="1:5" x14ac:dyDescent="0.35">
      <c r="B104" s="287"/>
    </row>
    <row r="105" spans="1:5" x14ac:dyDescent="0.35">
      <c r="B105" s="287"/>
    </row>
    <row r="106" spans="1:5" x14ac:dyDescent="0.35">
      <c r="B106" s="288"/>
    </row>
  </sheetData>
  <mergeCells count="8">
    <mergeCell ref="A77:A78"/>
    <mergeCell ref="A88:A89"/>
    <mergeCell ref="E88:E89"/>
    <mergeCell ref="A11:A12"/>
    <mergeCell ref="A19:A20"/>
    <mergeCell ref="A27:A28"/>
    <mergeCell ref="A37:A38"/>
    <mergeCell ref="A67:A68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870F-BF47-468C-A62A-15B8335B5C3A}">
  <dimension ref="A1:N98"/>
  <sheetViews>
    <sheetView showGridLines="0" zoomScaleNormal="100" workbookViewId="0"/>
  </sheetViews>
  <sheetFormatPr baseColWidth="10" defaultRowHeight="12.75" x14ac:dyDescent="0.35"/>
  <cols>
    <col min="2" max="2" width="14.1328125" customWidth="1"/>
    <col min="3" max="3" width="18.59765625" customWidth="1"/>
    <col min="4" max="4" width="14.265625" customWidth="1"/>
    <col min="5" max="5" width="13.265625" customWidth="1"/>
    <col min="6" max="6" width="13.73046875" bestFit="1" customWidth="1"/>
    <col min="7" max="7" width="12.73046875" customWidth="1"/>
    <col min="8" max="8" width="2.265625" customWidth="1"/>
    <col min="9" max="12" width="12.86328125" bestFit="1" customWidth="1"/>
    <col min="13" max="13" width="11.86328125" bestFit="1" customWidth="1"/>
    <col min="14" max="14" width="12.86328125" bestFit="1" customWidth="1"/>
    <col min="15" max="15" width="4.3984375" customWidth="1"/>
  </cols>
  <sheetData>
    <row r="1" spans="1:14" s="1" customFormat="1" x14ac:dyDescent="0.35"/>
    <row r="2" spans="1:14" s="1" customFormat="1" x14ac:dyDescent="0.35"/>
    <row r="3" spans="1:14" s="1" customFormat="1" x14ac:dyDescent="0.35"/>
    <row r="4" spans="1:14" s="1" customFormat="1" x14ac:dyDescent="0.35"/>
    <row r="5" spans="1:14" s="1" customFormat="1" x14ac:dyDescent="0.35"/>
    <row r="6" spans="1:14" s="366" customFormat="1" ht="30" customHeight="1" x14ac:dyDescent="0.35">
      <c r="A6" s="366" t="s">
        <v>189</v>
      </c>
    </row>
    <row r="7" spans="1:14" s="5" customFormat="1" ht="16.5" customHeight="1" x14ac:dyDescent="0.35">
      <c r="A7" s="5" t="s">
        <v>197</v>
      </c>
    </row>
    <row r="8" spans="1:14" ht="5.25" customHeight="1" thickBot="1" x14ac:dyDescent="0.4"/>
    <row r="9" spans="1:14" ht="25.5" customHeight="1" thickBot="1" x14ac:dyDescent="0.4">
      <c r="B9" s="177" t="s">
        <v>92</v>
      </c>
      <c r="C9" s="178"/>
      <c r="D9" s="178"/>
      <c r="E9" s="178"/>
      <c r="F9" s="178"/>
      <c r="G9" s="179"/>
      <c r="I9" s="177" t="s">
        <v>93</v>
      </c>
      <c r="J9" s="178"/>
      <c r="K9" s="178"/>
      <c r="L9" s="178"/>
      <c r="M9" s="178"/>
      <c r="N9" s="179"/>
    </row>
    <row r="10" spans="1:14" ht="13.15" thickBot="1" x14ac:dyDescent="0.4"/>
    <row r="11" spans="1:14" ht="25.15" customHeight="1" x14ac:dyDescent="0.35">
      <c r="A11" s="634" t="s">
        <v>50</v>
      </c>
      <c r="B11" s="162" t="s">
        <v>101</v>
      </c>
      <c r="C11" s="162"/>
      <c r="D11" s="162"/>
      <c r="E11" s="162"/>
      <c r="F11" s="162"/>
      <c r="G11" s="163"/>
      <c r="I11" s="180" t="s">
        <v>123</v>
      </c>
      <c r="J11" s="162"/>
      <c r="K11" s="162"/>
      <c r="L11" s="162"/>
      <c r="M11" s="162"/>
      <c r="N11" s="163"/>
    </row>
    <row r="12" spans="1:14" ht="25.15" customHeight="1" x14ac:dyDescent="0.35">
      <c r="A12" s="635"/>
      <c r="B12" s="164" t="s">
        <v>15</v>
      </c>
      <c r="C12" s="164" t="s">
        <v>16</v>
      </c>
      <c r="D12" s="164" t="s">
        <v>17</v>
      </c>
      <c r="E12" s="164" t="s">
        <v>18</v>
      </c>
      <c r="F12" s="164" t="s">
        <v>19</v>
      </c>
      <c r="G12" s="165" t="s">
        <v>20</v>
      </c>
      <c r="I12" s="181" t="s">
        <v>15</v>
      </c>
      <c r="J12" s="164" t="s">
        <v>16</v>
      </c>
      <c r="K12" s="164" t="s">
        <v>17</v>
      </c>
      <c r="L12" s="164" t="s">
        <v>18</v>
      </c>
      <c r="M12" s="164" t="s">
        <v>19</v>
      </c>
      <c r="N12" s="165" t="s">
        <v>20</v>
      </c>
    </row>
    <row r="13" spans="1:14" ht="15" customHeight="1" x14ac:dyDescent="0.35">
      <c r="A13" s="168" t="s">
        <v>10</v>
      </c>
      <c r="B13" s="169">
        <f>'IV. Metodología de asignación'!J65+'IV. Metodología de asignación'!J67+'IV. Metodología de asignación'!J70+'IV. Metodología de asignación'!J74</f>
        <v>1918140.0859594678</v>
      </c>
      <c r="C13" s="169">
        <f>'IV. Metodología de asignación'!K65+'IV. Metodología de asignación'!K67+'IV. Metodología de asignación'!K70+'IV. Metodología de asignación'!K74</f>
        <v>1026973.6144147834</v>
      </c>
      <c r="D13" s="169">
        <f>'IV. Metodología de asignación'!L65+'IV. Metodología de asignación'!L67+'IV. Metodología de asignación'!L70+'IV. Metodología de asignación'!L74</f>
        <v>327632.72675591649</v>
      </c>
      <c r="E13" s="169">
        <f>'IV. Metodología de asignación'!M65+'IV. Metodología de asignación'!M67+'IV. Metodología de asignación'!M70+'IV. Metodología de asignación'!M74</f>
        <v>260110.03783983176</v>
      </c>
      <c r="F13" s="169">
        <f>'IV. Metodología de asignación'!N65+'IV. Metodología de asignación'!N67+'IV. Metodología de asignación'!N70+'IV. Metodología de asignación'!N74</f>
        <v>3883.4420202575616</v>
      </c>
      <c r="G13" s="170">
        <f>'IV. Metodología de asignación'!O65+'IV. Metodología de asignación'!O67+'IV. Metodología de asignación'!O70+'IV. Metodología de asignación'!O74</f>
        <v>157939.38625381229</v>
      </c>
      <c r="I13" s="182">
        <f>'IV. Metodología de asignación'!J85+'IV. Metodología de asignación'!J87+'IV. Metodología de asignación'!J90+'IV. Metodología de asignación'!J94</f>
        <v>272854.88619315141</v>
      </c>
      <c r="J13" s="169">
        <f>'IV. Metodología de asignación'!K85+'IV. Metodología de asignación'!K87+'IV. Metodología de asignación'!K90+'IV. Metodología de asignación'!K94</f>
        <v>141423.08196441093</v>
      </c>
      <c r="K13" s="169">
        <f>'IV. Metodología de asignación'!L85+'IV. Metodología de asignación'!L87+'IV. Metodología de asignación'!L90+'IV. Metodología de asignación'!L94</f>
        <v>47173.455489104294</v>
      </c>
      <c r="L13" s="169">
        <f>'IV. Metodología de asignación'!M85+'IV. Metodología de asignación'!M87+'IV. Metodología de asignación'!M90+'IV. Metodología de asignación'!M94</f>
        <v>30384.852540297339</v>
      </c>
      <c r="M13" s="169">
        <f>'IV. Metodología de asignación'!N85+'IV. Metodología de asignación'!N87+'IV. Metodología de asignación'!N90+'IV. Metodología de asignación'!N94</f>
        <v>504.77140054823258</v>
      </c>
      <c r="N13" s="170">
        <f>'IV. Metodología de asignación'!O85+'IV. Metodología de asignación'!O87+'IV. Metodología de asignación'!O90+'IV. Metodología de asignación'!O94</f>
        <v>1404.2361340972448</v>
      </c>
    </row>
    <row r="14" spans="1:14" ht="15" customHeight="1" x14ac:dyDescent="0.35">
      <c r="A14" s="171" t="s">
        <v>11</v>
      </c>
      <c r="B14" s="172">
        <f>'IV. Metodología de asignación'!J66+'IV. Metodología de asignación'!J69+'IV. Metodología de asignación'!J73</f>
        <v>344187.59648593899</v>
      </c>
      <c r="C14" s="172">
        <f>'IV. Metodología de asignación'!K66+'IV. Metodología de asignación'!K69+'IV. Metodología de asignación'!K73</f>
        <v>188791.31784029206</v>
      </c>
      <c r="D14" s="172">
        <f>'IV. Metodología de asignación'!L66+'IV. Metodología de asignación'!L69+'IV. Metodología de asignación'!L73</f>
        <v>74032.651174564933</v>
      </c>
      <c r="E14" s="172">
        <f>'IV. Metodología de asignación'!M66+'IV. Metodología de asignación'!M69+'IV. Metodología de asignación'!M73</f>
        <v>54002.190218586649</v>
      </c>
      <c r="F14" s="172">
        <f>'IV. Metodología de asignación'!N66+'IV. Metodología de asignación'!N69+'IV. Metodología de asignación'!N73</f>
        <v>1042.0119278454883</v>
      </c>
      <c r="G14" s="173">
        <f>'IV. Metodología de asignación'!O66+'IV. Metodología de asignación'!O69+'IV. Metodología de asignación'!O73</f>
        <v>1671.8493421071842</v>
      </c>
      <c r="I14" s="183">
        <f>'IV. Metodología de asignación'!J86+'IV. Metodología de asignación'!J89+'IV. Metodología de asignación'!J93</f>
        <v>143855.15278950575</v>
      </c>
      <c r="J14" s="172">
        <f>'IV. Metodología de asignación'!K86+'IV. Metodología de asignación'!K89+'IV. Metodología de asignación'!K93</f>
        <v>78353.945254878723</v>
      </c>
      <c r="K14" s="172">
        <f>'IV. Metodología de asignación'!L86+'IV. Metodología de asignación'!L89+'IV. Metodología de asignación'!L93</f>
        <v>30703.57512565891</v>
      </c>
      <c r="L14" s="172">
        <f>'IV. Metodología de asignación'!M86+'IV. Metodología de asignación'!M89+'IV. Metodología de asignación'!M93</f>
        <v>20409.021717592579</v>
      </c>
      <c r="M14" s="172">
        <f>'IV. Metodología de asignación'!N86+'IV. Metodología de asignación'!N89+'IV. Metodología de asignación'!N93</f>
        <v>358.23690305112109</v>
      </c>
      <c r="N14" s="173">
        <f>'IV. Metodología de asignación'!O86+'IV. Metodología de asignación'!O89+'IV. Metodología de asignación'!O93</f>
        <v>831.960984859311</v>
      </c>
    </row>
    <row r="15" spans="1:14" ht="15" customHeight="1" x14ac:dyDescent="0.35">
      <c r="A15" s="171" t="s">
        <v>12</v>
      </c>
      <c r="B15" s="172">
        <f>'IV. Metodología de asignación'!J68+'IV. Metodología de asignación'!J72</f>
        <v>50504.07839163093</v>
      </c>
      <c r="C15" s="172">
        <f>'IV. Metodología de asignación'!K68+'IV. Metodología de asignación'!K72</f>
        <v>30675.614174228267</v>
      </c>
      <c r="D15" s="172">
        <f>'IV. Metodología de asignación'!L68+'IV. Metodología de asignación'!L72</f>
        <v>7896.3542533468881</v>
      </c>
      <c r="E15" s="172">
        <f>'IV. Metodología de asignación'!M68+'IV. Metodología de asignación'!M72</f>
        <v>5038.7162864851889</v>
      </c>
      <c r="F15" s="172">
        <f>'IV. Metodología de asignación'!N68+'IV. Metodología de asignación'!N72</f>
        <v>137.67341775835592</v>
      </c>
      <c r="G15" s="173">
        <f>'IV. Metodología de asignación'!O68+'IV. Metodología de asignación'!O72</f>
        <v>386.28040801752252</v>
      </c>
      <c r="I15" s="183">
        <f>'IV. Metodología de asignación'!J88+'IV. Metodología de asignación'!J92</f>
        <v>19123.686187693278</v>
      </c>
      <c r="J15" s="172">
        <f>'IV. Metodología de asignación'!K88+'IV. Metodología de asignación'!K92</f>
        <v>12234.384039208093</v>
      </c>
      <c r="K15" s="172">
        <f>'IV. Metodología de asignación'!L88+'IV. Metodología de asignación'!L92</f>
        <v>3660.0788372230313</v>
      </c>
      <c r="L15" s="172">
        <f>'IV. Metodología de asignación'!M88+'IV. Metodología de asignación'!M92</f>
        <v>2273.8528272093567</v>
      </c>
      <c r="M15" s="172">
        <f>'IV. Metodología de asignación'!N88+'IV. Metodología de asignación'!N92</f>
        <v>51.807968573575138</v>
      </c>
      <c r="N15" s="173">
        <f>'IV. Metodología de asignación'!O88+'IV. Metodología de asignación'!O92</f>
        <v>196.90615087377063</v>
      </c>
    </row>
    <row r="16" spans="1:14" ht="15" customHeight="1" x14ac:dyDescent="0.35">
      <c r="A16" s="171" t="s">
        <v>13</v>
      </c>
      <c r="B16" s="172">
        <f>'IV. Metodología de asignación'!J71</f>
        <v>11386.274711876884</v>
      </c>
      <c r="C16" s="172">
        <f>'IV. Metodología de asignación'!K71</f>
        <v>7354.7282586185866</v>
      </c>
      <c r="D16" s="172">
        <f>'IV. Metodología de asignación'!L71</f>
        <v>2505.682864426843</v>
      </c>
      <c r="E16" s="172">
        <f>'IV. Metodología de asignación'!M71</f>
        <v>1753.0292172875902</v>
      </c>
      <c r="F16" s="172">
        <f>'IV. Metodología de asignación'!N71</f>
        <v>40.866730181019712</v>
      </c>
      <c r="G16" s="173">
        <f>'IV. Metodología de asignación'!O71</f>
        <v>116.61328194436794</v>
      </c>
      <c r="I16" s="183">
        <f>'IV. Metodología de asignación'!J91</f>
        <v>5145.3603837501869</v>
      </c>
      <c r="J16" s="172">
        <f>'IV. Metodología de asignación'!K91</f>
        <v>3238.6344256771272</v>
      </c>
      <c r="K16" s="172">
        <f>'IV. Metodología de asignación'!L91</f>
        <v>1091.2626919283093</v>
      </c>
      <c r="L16" s="172">
        <f>'IV. Metodología de asignación'!M91</f>
        <v>714.44905751235456</v>
      </c>
      <c r="M16" s="172">
        <f>'IV. Metodología de asignación'!N91</f>
        <v>15.7061794820037</v>
      </c>
      <c r="N16" s="173">
        <f>'IV. Metodología de asignación'!O91</f>
        <v>64.884855088994726</v>
      </c>
    </row>
    <row r="17" spans="1:14" ht="15" customHeight="1" thickBot="1" x14ac:dyDescent="0.4">
      <c r="A17" s="251" t="s">
        <v>14</v>
      </c>
      <c r="B17" s="249"/>
      <c r="C17" s="249"/>
      <c r="D17" s="249"/>
      <c r="E17" s="249"/>
      <c r="F17" s="249"/>
      <c r="G17" s="250"/>
      <c r="I17" s="252"/>
      <c r="J17" s="249"/>
      <c r="K17" s="249"/>
      <c r="L17" s="249"/>
      <c r="M17" s="249"/>
      <c r="N17" s="250"/>
    </row>
    <row r="18" spans="1:14" ht="13.15" thickBot="1" x14ac:dyDescent="0.4">
      <c r="G18" s="217"/>
      <c r="N18" s="217">
        <f>SUM(I13:N16)-SUM('IV. Metodología de asignación'!E23:H23)</f>
        <v>0</v>
      </c>
    </row>
    <row r="19" spans="1:14" ht="24" customHeight="1" x14ac:dyDescent="0.35">
      <c r="A19" s="634" t="s">
        <v>50</v>
      </c>
      <c r="B19" s="162" t="s">
        <v>102</v>
      </c>
      <c r="C19" s="162"/>
      <c r="D19" s="162"/>
      <c r="E19" s="162"/>
      <c r="F19" s="162"/>
      <c r="G19" s="163"/>
      <c r="I19" s="180" t="s">
        <v>109</v>
      </c>
      <c r="J19" s="162"/>
      <c r="K19" s="162"/>
      <c r="L19" s="162"/>
      <c r="M19" s="162"/>
      <c r="N19" s="163"/>
    </row>
    <row r="20" spans="1:14" ht="24" customHeight="1" x14ac:dyDescent="0.35">
      <c r="A20" s="635"/>
      <c r="B20" s="164" t="s">
        <v>15</v>
      </c>
      <c r="C20" s="164" t="s">
        <v>16</v>
      </c>
      <c r="D20" s="164" t="s">
        <v>17</v>
      </c>
      <c r="E20" s="164" t="s">
        <v>18</v>
      </c>
      <c r="F20" s="164" t="s">
        <v>19</v>
      </c>
      <c r="G20" s="165" t="s">
        <v>20</v>
      </c>
      <c r="I20" s="181" t="s">
        <v>15</v>
      </c>
      <c r="J20" s="164" t="s">
        <v>16</v>
      </c>
      <c r="K20" s="164" t="s">
        <v>17</v>
      </c>
      <c r="L20" s="164" t="s">
        <v>18</v>
      </c>
      <c r="M20" s="164" t="s">
        <v>19</v>
      </c>
      <c r="N20" s="165" t="s">
        <v>20</v>
      </c>
    </row>
    <row r="21" spans="1:14" ht="15" customHeight="1" x14ac:dyDescent="0.35">
      <c r="A21" s="168" t="s">
        <v>10</v>
      </c>
      <c r="B21" s="169">
        <f>'I. Datos de entrada'!C120+'I. Datos de entrada'!C121</f>
        <v>148870.54121399322</v>
      </c>
      <c r="C21" s="169">
        <f>'I. Datos de entrada'!D120+'I. Datos de entrada'!D121</f>
        <v>149903.43316542101</v>
      </c>
      <c r="D21" s="169">
        <f>'I. Datos de entrada'!E120+'I. Datos de entrada'!E121</f>
        <v>149976.03195968005</v>
      </c>
      <c r="E21" s="169">
        <f>'I. Datos de entrada'!F120+'I. Datos de entrada'!F121</f>
        <v>149995.65472992221</v>
      </c>
      <c r="F21" s="169">
        <f>'I. Datos de entrada'!G120+'I. Datos de entrada'!G121</f>
        <v>150006.09612554024</v>
      </c>
      <c r="G21" s="170">
        <f>'I. Datos de entrada'!H120+'I. Datos de entrada'!H121</f>
        <v>154962.47232798225</v>
      </c>
      <c r="I21" s="182">
        <f>('I. Datos de entrada'!C106+'I. Datos de entrada'!C107)*1000</f>
        <v>12341198.349407114</v>
      </c>
      <c r="J21" s="169">
        <f>('I. Datos de entrada'!D106+'I. Datos de entrada'!D107)*1000</f>
        <v>14697986.811927935</v>
      </c>
      <c r="K21" s="169">
        <f>('I. Datos de entrada'!E106+'I. Datos de entrada'!E107)*1000</f>
        <v>12568837.120157514</v>
      </c>
      <c r="L21" s="169">
        <f>('I. Datos de entrada'!F106+'I. Datos de entrada'!F107)*1000</f>
        <v>13764382.707667282</v>
      </c>
      <c r="M21" s="169">
        <f>('I. Datos de entrada'!G106+'I. Datos de entrada'!G107)*1000</f>
        <v>5349328.6281975172</v>
      </c>
      <c r="N21" s="170">
        <f>('I. Datos de entrada'!H106+'I. Datos de entrada'!H107)*1000</f>
        <v>49991974.938067272</v>
      </c>
    </row>
    <row r="22" spans="1:14" ht="15" customHeight="1" x14ac:dyDescent="0.35">
      <c r="A22" s="171" t="s">
        <v>11</v>
      </c>
      <c r="B22" s="172">
        <f>'I. Datos de entrada'!C122</f>
        <v>18883.095266940098</v>
      </c>
      <c r="C22" s="172">
        <f>'I. Datos de entrada'!D122</f>
        <v>19482.787279381508</v>
      </c>
      <c r="D22" s="172">
        <f>'I. Datos de entrada'!E122</f>
        <v>19866.940022960142</v>
      </c>
      <c r="E22" s="172">
        <f>'I. Datos de entrada'!F122</f>
        <v>20046.330217362225</v>
      </c>
      <c r="F22" s="172">
        <f>'I. Datos de entrada'!G122</f>
        <v>20126.417100620922</v>
      </c>
      <c r="G22" s="173">
        <f>'I. Datos de entrada'!H122</f>
        <v>28361.646541117618</v>
      </c>
      <c r="I22" s="183">
        <f>'I. Datos de entrada'!C108*1000</f>
        <v>6848156.9507509321</v>
      </c>
      <c r="J22" s="172">
        <f>'I. Datos de entrada'!D108*1000</f>
        <v>8450421.4268585853</v>
      </c>
      <c r="K22" s="172">
        <f>'I. Datos de entrada'!E108*1000</f>
        <v>8087709.1897386163</v>
      </c>
      <c r="L22" s="172">
        <f>'I. Datos de entrada'!F108*1000</f>
        <v>9053371.0894941799</v>
      </c>
      <c r="M22" s="172">
        <f>'I. Datos de entrada'!G108*1000</f>
        <v>3705607.647880564</v>
      </c>
      <c r="N22" s="173">
        <f>'I. Datos de entrada'!H108*1000</f>
        <v>31509839.92045968</v>
      </c>
    </row>
    <row r="23" spans="1:14" ht="15" customHeight="1" x14ac:dyDescent="0.35">
      <c r="A23" s="171" t="s">
        <v>12</v>
      </c>
      <c r="B23" s="172">
        <f>'I. Datos de entrada'!C123</f>
        <v>4771.4171674848667</v>
      </c>
      <c r="C23" s="172">
        <f>'I. Datos de entrada'!D123</f>
        <v>4914.2590407278349</v>
      </c>
      <c r="D23" s="172">
        <f>'I. Datos de entrada'!E123</f>
        <v>5053.6301855593747</v>
      </c>
      <c r="E23" s="172">
        <f>'I. Datos de entrada'!F123</f>
        <v>5100.440776483726</v>
      </c>
      <c r="F23" s="172">
        <f>'I. Datos de entrada'!G123</f>
        <v>5100.8687764837259</v>
      </c>
      <c r="G23" s="173">
        <f>'I. Datos de entrada'!H123</f>
        <v>6536.4599387553571</v>
      </c>
      <c r="I23" s="183">
        <f>'I. Datos de entrada'!C109*1000</f>
        <v>2011334.2901966935</v>
      </c>
      <c r="J23" s="172">
        <f>'I. Datos de entrada'!D109*1000</f>
        <v>2666298.890584114</v>
      </c>
      <c r="K23" s="172">
        <f>'I. Datos de entrada'!E109*1000</f>
        <v>2472568.8326571281</v>
      </c>
      <c r="L23" s="172">
        <f>'I. Datos de entrada'!F109*1000</f>
        <v>2827672.6651716656</v>
      </c>
      <c r="M23" s="172">
        <f>'I. Datos de entrada'!G109*1000</f>
        <v>1222588.3079063608</v>
      </c>
      <c r="N23" s="173">
        <f>'I. Datos de entrada'!H109*1000</f>
        <v>11081705.909274878</v>
      </c>
    </row>
    <row r="24" spans="1:14" ht="15" customHeight="1" x14ac:dyDescent="0.35">
      <c r="A24" s="171" t="s">
        <v>13</v>
      </c>
      <c r="B24" s="172">
        <f>'I. Datos de entrada'!C124</f>
        <v>2083.5330052710651</v>
      </c>
      <c r="C24" s="172">
        <f>'I. Datos de entrada'!D124</f>
        <v>2141.0306642504111</v>
      </c>
      <c r="D24" s="172">
        <f>'I. Datos de entrada'!E124</f>
        <v>2297.3472021746779</v>
      </c>
      <c r="E24" s="172">
        <f>'I. Datos de entrada'!F124</f>
        <v>2314.9415935380935</v>
      </c>
      <c r="F24" s="172">
        <f>'I. Datos de entrada'!G124</f>
        <v>2320.2008437749619</v>
      </c>
      <c r="G24" s="173">
        <f>'I. Datos de entrada'!H124</f>
        <v>2826.5052799953064</v>
      </c>
      <c r="I24" s="183">
        <f>'I. Datos de entrada'!C110*1000</f>
        <v>804284.34440025117</v>
      </c>
      <c r="J24" s="172">
        <f>'I. Datos de entrada'!D110*1000</f>
        <v>1090032.909878527</v>
      </c>
      <c r="K24" s="172">
        <f>'I. Datos de entrada'!E110*1000</f>
        <v>1055636.0161004248</v>
      </c>
      <c r="L24" s="172">
        <f>'I. Datos de entrada'!F110*1000</f>
        <v>1216829.3768650456</v>
      </c>
      <c r="M24" s="172">
        <f>'I. Datos de entrada'!G110*1000</f>
        <v>531420.75046180305</v>
      </c>
      <c r="N24" s="173">
        <f>'I. Datos de entrada'!H110*1000</f>
        <v>5495029.961975771</v>
      </c>
    </row>
    <row r="25" spans="1:14" ht="15" customHeight="1" thickBot="1" x14ac:dyDescent="0.4">
      <c r="A25" s="251" t="s">
        <v>14</v>
      </c>
      <c r="B25" s="249"/>
      <c r="C25" s="249"/>
      <c r="D25" s="249"/>
      <c r="E25" s="249"/>
      <c r="F25" s="249"/>
      <c r="G25" s="250"/>
      <c r="I25" s="252"/>
      <c r="J25" s="249"/>
      <c r="K25" s="249"/>
      <c r="L25" s="249"/>
      <c r="M25" s="249"/>
      <c r="N25" s="250"/>
    </row>
    <row r="26" spans="1:14" ht="13.15" thickBot="1" x14ac:dyDescent="0.4">
      <c r="A26" s="166"/>
      <c r="B26" s="289"/>
      <c r="C26" s="289"/>
      <c r="D26" s="289"/>
      <c r="E26" s="289"/>
      <c r="F26" s="289"/>
      <c r="G26" s="289"/>
      <c r="I26" s="167"/>
      <c r="J26" s="167"/>
      <c r="K26" s="167"/>
      <c r="L26" s="167"/>
      <c r="M26" s="167"/>
      <c r="N26" s="167"/>
    </row>
    <row r="27" spans="1:14" ht="24" customHeight="1" x14ac:dyDescent="0.35">
      <c r="A27" s="634" t="s">
        <v>50</v>
      </c>
      <c r="B27" s="162" t="s">
        <v>103</v>
      </c>
      <c r="C27" s="162"/>
      <c r="D27" s="162"/>
      <c r="E27" s="162"/>
      <c r="F27" s="162"/>
      <c r="G27" s="163"/>
      <c r="I27" s="180" t="s">
        <v>108</v>
      </c>
      <c r="J27" s="162"/>
      <c r="K27" s="162"/>
      <c r="L27" s="162"/>
      <c r="M27" s="162"/>
      <c r="N27" s="163"/>
    </row>
    <row r="28" spans="1:14" ht="24" customHeight="1" x14ac:dyDescent="0.35">
      <c r="A28" s="635"/>
      <c r="B28" s="164" t="s">
        <v>15</v>
      </c>
      <c r="C28" s="164" t="s">
        <v>16</v>
      </c>
      <c r="D28" s="164" t="s">
        <v>17</v>
      </c>
      <c r="E28" s="164" t="s">
        <v>18</v>
      </c>
      <c r="F28" s="164" t="s">
        <v>19</v>
      </c>
      <c r="G28" s="165" t="s">
        <v>20</v>
      </c>
      <c r="I28" s="181" t="s">
        <v>15</v>
      </c>
      <c r="J28" s="164" t="s">
        <v>16</v>
      </c>
      <c r="K28" s="164" t="s">
        <v>17</v>
      </c>
      <c r="L28" s="164" t="s">
        <v>18</v>
      </c>
      <c r="M28" s="164" t="s">
        <v>19</v>
      </c>
      <c r="N28" s="165" t="s">
        <v>20</v>
      </c>
    </row>
    <row r="29" spans="1:14" ht="15" customHeight="1" x14ac:dyDescent="0.35">
      <c r="A29" s="168" t="s">
        <v>10</v>
      </c>
      <c r="B29" s="202">
        <f t="shared" ref="B29:G32" si="0">B13/B21</f>
        <v>12.884618207992183</v>
      </c>
      <c r="C29" s="202">
        <f t="shared" si="0"/>
        <v>6.8509012284028241</v>
      </c>
      <c r="D29" s="202">
        <f>D13/D21</f>
        <v>2.184567243677964</v>
      </c>
      <c r="E29" s="202">
        <f t="shared" si="0"/>
        <v>1.7341171536480726</v>
      </c>
      <c r="F29" s="202">
        <f t="shared" si="0"/>
        <v>2.5888561335584027E-2</v>
      </c>
      <c r="G29" s="203">
        <f t="shared" si="0"/>
        <v>1.0192105474384103</v>
      </c>
      <c r="I29" s="208">
        <f t="shared" ref="I29:N32" si="1">I13/I21</f>
        <v>2.2109269980759988E-2</v>
      </c>
      <c r="J29" s="209">
        <f t="shared" si="1"/>
        <v>9.6219355598850514E-3</v>
      </c>
      <c r="K29" s="209">
        <f t="shared" si="1"/>
        <v>3.7532076387121732E-3</v>
      </c>
      <c r="L29" s="209">
        <f t="shared" si="1"/>
        <v>2.2074983808298082E-3</v>
      </c>
      <c r="M29" s="209">
        <f t="shared" si="1"/>
        <v>9.4361635942026198E-5</v>
      </c>
      <c r="N29" s="210">
        <f t="shared" si="1"/>
        <v>2.8089231038319398E-5</v>
      </c>
    </row>
    <row r="30" spans="1:14" ht="15" customHeight="1" x14ac:dyDescent="0.35">
      <c r="A30" s="171" t="s">
        <v>11</v>
      </c>
      <c r="B30" s="204">
        <f t="shared" si="0"/>
        <v>18.227286979191984</v>
      </c>
      <c r="C30" s="204">
        <f t="shared" si="0"/>
        <v>9.6901595820475102</v>
      </c>
      <c r="D30" s="204">
        <f t="shared" si="0"/>
        <v>3.7264244563584379</v>
      </c>
      <c r="E30" s="204">
        <f t="shared" si="0"/>
        <v>2.6938691338036072</v>
      </c>
      <c r="F30" s="204">
        <f t="shared" si="0"/>
        <v>5.1773344586669684E-2</v>
      </c>
      <c r="G30" s="205">
        <f t="shared" si="0"/>
        <v>5.8947541698025241E-2</v>
      </c>
      <c r="I30" s="211">
        <f t="shared" si="1"/>
        <v>2.1006404179117328E-2</v>
      </c>
      <c r="J30" s="212">
        <f t="shared" si="1"/>
        <v>9.2721938110495554E-3</v>
      </c>
      <c r="K30" s="212">
        <f t="shared" si="1"/>
        <v>3.7963253135528735E-3</v>
      </c>
      <c r="L30" s="212">
        <f t="shared" si="1"/>
        <v>2.2543008030760894E-3</v>
      </c>
      <c r="M30" s="212">
        <f t="shared" si="1"/>
        <v>9.6674266973735331E-5</v>
      </c>
      <c r="N30" s="213">
        <f t="shared" si="1"/>
        <v>2.6403212042950104E-5</v>
      </c>
    </row>
    <row r="31" spans="1:14" ht="15" customHeight="1" x14ac:dyDescent="0.35">
      <c r="A31" s="171" t="s">
        <v>12</v>
      </c>
      <c r="B31" s="204">
        <f t="shared" si="0"/>
        <v>10.584712386037898</v>
      </c>
      <c r="C31" s="204">
        <f t="shared" si="0"/>
        <v>6.242164672232053</v>
      </c>
      <c r="D31" s="204">
        <f t="shared" si="0"/>
        <v>1.5625112965152315</v>
      </c>
      <c r="E31" s="204">
        <f t="shared" si="0"/>
        <v>0.98789820474278889</v>
      </c>
      <c r="F31" s="204">
        <f t="shared" si="0"/>
        <v>2.6990190061948787E-2</v>
      </c>
      <c r="G31" s="205">
        <f t="shared" si="0"/>
        <v>5.9096271014716303E-2</v>
      </c>
      <c r="I31" s="211">
        <f t="shared" si="1"/>
        <v>9.5079601043460173E-3</v>
      </c>
      <c r="J31" s="212">
        <f t="shared" si="1"/>
        <v>4.5885268461135914E-3</v>
      </c>
      <c r="K31" s="212">
        <f t="shared" si="1"/>
        <v>1.4802737901091127E-3</v>
      </c>
      <c r="L31" s="212">
        <f t="shared" si="1"/>
        <v>8.0414287524023336E-4</v>
      </c>
      <c r="M31" s="212">
        <f t="shared" si="1"/>
        <v>4.2375645373457278E-5</v>
      </c>
      <c r="N31" s="213">
        <f t="shared" si="1"/>
        <v>1.7768577553476602E-5</v>
      </c>
    </row>
    <row r="32" spans="1:14" ht="15" customHeight="1" x14ac:dyDescent="0.35">
      <c r="A32" s="171" t="s">
        <v>13</v>
      </c>
      <c r="B32" s="204">
        <f t="shared" si="0"/>
        <v>5.4648880929992965</v>
      </c>
      <c r="C32" s="204">
        <f t="shared" si="0"/>
        <v>3.4351344805206354</v>
      </c>
      <c r="D32" s="204">
        <f t="shared" si="0"/>
        <v>1.0906853182901364</v>
      </c>
      <c r="E32" s="204">
        <f t="shared" si="0"/>
        <v>0.75726714755179125</v>
      </c>
      <c r="F32" s="204">
        <f t="shared" si="0"/>
        <v>1.761344509923099E-2</v>
      </c>
      <c r="G32" s="205">
        <f t="shared" si="0"/>
        <v>4.1257054345414698E-2</v>
      </c>
      <c r="I32" s="211">
        <f t="shared" si="1"/>
        <v>6.3974394374007662E-3</v>
      </c>
      <c r="J32" s="212">
        <f t="shared" si="1"/>
        <v>2.9711345376150521E-3</v>
      </c>
      <c r="K32" s="212">
        <f t="shared" si="1"/>
        <v>1.03374901508144E-3</v>
      </c>
      <c r="L32" s="212">
        <f t="shared" si="1"/>
        <v>5.8713988262924029E-4</v>
      </c>
      <c r="M32" s="212">
        <f t="shared" si="1"/>
        <v>2.9555073768487732E-5</v>
      </c>
      <c r="N32" s="213">
        <f t="shared" si="1"/>
        <v>1.180791652420126E-5</v>
      </c>
    </row>
    <row r="33" spans="1:14" ht="15" customHeight="1" thickBot="1" x14ac:dyDescent="0.4">
      <c r="A33" s="251" t="s">
        <v>14</v>
      </c>
      <c r="B33" s="256"/>
      <c r="C33" s="256"/>
      <c r="D33" s="256"/>
      <c r="E33" s="256"/>
      <c r="F33" s="256"/>
      <c r="G33" s="257"/>
      <c r="I33" s="253"/>
      <c r="J33" s="254"/>
      <c r="K33" s="254"/>
      <c r="L33" s="254"/>
      <c r="M33" s="254"/>
      <c r="N33" s="255"/>
    </row>
    <row r="35" spans="1:14" s="5" customFormat="1" ht="16.5" customHeight="1" x14ac:dyDescent="0.35">
      <c r="A35" s="5" t="s">
        <v>110</v>
      </c>
    </row>
    <row r="36" spans="1:14" ht="5.25" customHeight="1" thickBot="1" x14ac:dyDescent="0.4">
      <c r="A36" s="191"/>
      <c r="B36" s="192"/>
      <c r="C36" s="40"/>
    </row>
    <row r="37" spans="1:14" ht="18" customHeight="1" x14ac:dyDescent="0.35">
      <c r="A37" s="634" t="s">
        <v>50</v>
      </c>
      <c r="B37" s="162" t="s">
        <v>92</v>
      </c>
      <c r="C37" s="162"/>
      <c r="D37" s="162"/>
      <c r="E37" s="162"/>
      <c r="F37" s="162"/>
      <c r="G37" s="163"/>
      <c r="I37" s="180" t="s">
        <v>93</v>
      </c>
      <c r="J37" s="162"/>
      <c r="K37" s="162"/>
      <c r="L37" s="162"/>
      <c r="M37" s="162"/>
      <c r="N37" s="163"/>
    </row>
    <row r="38" spans="1:14" ht="18" customHeight="1" x14ac:dyDescent="0.35">
      <c r="A38" s="635"/>
      <c r="B38" s="164" t="s">
        <v>15</v>
      </c>
      <c r="C38" s="164" t="s">
        <v>16</v>
      </c>
      <c r="D38" s="164" t="s">
        <v>17</v>
      </c>
      <c r="E38" s="164" t="s">
        <v>18</v>
      </c>
      <c r="F38" s="164" t="s">
        <v>19</v>
      </c>
      <c r="G38" s="165" t="s">
        <v>20</v>
      </c>
      <c r="I38" s="181" t="s">
        <v>15</v>
      </c>
      <c r="J38" s="164" t="s">
        <v>16</v>
      </c>
      <c r="K38" s="164" t="s">
        <v>17</v>
      </c>
      <c r="L38" s="164" t="s">
        <v>18</v>
      </c>
      <c r="M38" s="164" t="s">
        <v>19</v>
      </c>
      <c r="N38" s="165" t="s">
        <v>20</v>
      </c>
    </row>
    <row r="39" spans="1:14" ht="15" customHeight="1" x14ac:dyDescent="0.35">
      <c r="A39" s="168" t="s">
        <v>10</v>
      </c>
      <c r="B39" s="193">
        <f t="shared" ref="B39:G42" si="2">B29/$G29</f>
        <v>12.641763019795265</v>
      </c>
      <c r="C39" s="193">
        <f t="shared" si="2"/>
        <v>6.7217723027113943</v>
      </c>
      <c r="D39" s="193">
        <f t="shared" si="2"/>
        <v>2.1433915192189223</v>
      </c>
      <c r="E39" s="193">
        <f t="shared" si="2"/>
        <v>1.7014317188989483</v>
      </c>
      <c r="F39" s="193">
        <f t="shared" si="2"/>
        <v>2.5400601868426447E-2</v>
      </c>
      <c r="G39" s="196">
        <f t="shared" si="2"/>
        <v>1</v>
      </c>
      <c r="I39" s="195">
        <f t="shared" ref="I39:N42" si="3">I29/$N29</f>
        <v>787.10841000234097</v>
      </c>
      <c r="J39" s="193">
        <f t="shared" si="3"/>
        <v>342.54891302502313</v>
      </c>
      <c r="K39" s="193">
        <f t="shared" si="3"/>
        <v>133.6173152476847</v>
      </c>
      <c r="L39" s="193">
        <f t="shared" si="3"/>
        <v>78.588779373074814</v>
      </c>
      <c r="M39" s="193">
        <f t="shared" si="3"/>
        <v>3.3593527645273671</v>
      </c>
      <c r="N39" s="196">
        <f t="shared" si="3"/>
        <v>1</v>
      </c>
    </row>
    <row r="40" spans="1:14" ht="15" customHeight="1" x14ac:dyDescent="0.35">
      <c r="A40" s="171" t="s">
        <v>11</v>
      </c>
      <c r="B40" s="194">
        <f t="shared" si="2"/>
        <v>309.21199517642657</v>
      </c>
      <c r="C40" s="194">
        <f t="shared" si="2"/>
        <v>164.38615255048259</v>
      </c>
      <c r="D40" s="194">
        <f t="shared" si="2"/>
        <v>63.215943345832081</v>
      </c>
      <c r="E40" s="194">
        <f t="shared" si="2"/>
        <v>45.69943132834414</v>
      </c>
      <c r="F40" s="194">
        <f t="shared" si="2"/>
        <v>0.8782952281859806</v>
      </c>
      <c r="G40" s="198">
        <f t="shared" si="2"/>
        <v>1</v>
      </c>
      <c r="I40" s="197">
        <f t="shared" si="3"/>
        <v>795.60032866252072</v>
      </c>
      <c r="J40" s="194">
        <f t="shared" si="3"/>
        <v>351.17673546561224</v>
      </c>
      <c r="K40" s="194">
        <f t="shared" si="3"/>
        <v>143.78270747427968</v>
      </c>
      <c r="L40" s="194">
        <f t="shared" si="3"/>
        <v>85.379793920869119</v>
      </c>
      <c r="M40" s="194">
        <f t="shared" si="3"/>
        <v>3.6614585686194281</v>
      </c>
      <c r="N40" s="198">
        <f t="shared" si="3"/>
        <v>1</v>
      </c>
    </row>
    <row r="41" spans="1:14" ht="15" customHeight="1" x14ac:dyDescent="0.35">
      <c r="A41" s="171" t="s">
        <v>12</v>
      </c>
      <c r="B41" s="194">
        <f t="shared" si="2"/>
        <v>179.10964946336574</v>
      </c>
      <c r="C41" s="194">
        <f t="shared" si="2"/>
        <v>105.62704829002854</v>
      </c>
      <c r="D41" s="194">
        <f t="shared" si="2"/>
        <v>26.440099682873914</v>
      </c>
      <c r="E41" s="194">
        <f t="shared" si="2"/>
        <v>16.716760428027346</v>
      </c>
      <c r="F41" s="194">
        <f t="shared" si="2"/>
        <v>0.45671562009771516</v>
      </c>
      <c r="G41" s="198">
        <f t="shared" si="2"/>
        <v>1</v>
      </c>
      <c r="I41" s="197">
        <f t="shared" si="3"/>
        <v>535.09967670347862</v>
      </c>
      <c r="J41" s="194">
        <f t="shared" si="3"/>
        <v>258.23827666023834</v>
      </c>
      <c r="K41" s="194">
        <f t="shared" si="3"/>
        <v>83.308513900679813</v>
      </c>
      <c r="L41" s="194">
        <f t="shared" si="3"/>
        <v>45.256457520027801</v>
      </c>
      <c r="M41" s="194">
        <f t="shared" si="3"/>
        <v>2.3848642495958297</v>
      </c>
      <c r="N41" s="198">
        <f t="shared" si="3"/>
        <v>1</v>
      </c>
    </row>
    <row r="42" spans="1:14" ht="15" customHeight="1" x14ac:dyDescent="0.35">
      <c r="A42" s="171" t="s">
        <v>13</v>
      </c>
      <c r="B42" s="194">
        <f t="shared" si="2"/>
        <v>132.45948310429154</v>
      </c>
      <c r="C42" s="194">
        <f t="shared" si="2"/>
        <v>83.261748445751934</v>
      </c>
      <c r="D42" s="194">
        <f t="shared" si="2"/>
        <v>26.436335206062886</v>
      </c>
      <c r="E42" s="194">
        <f t="shared" si="2"/>
        <v>18.354852511082235</v>
      </c>
      <c r="F42" s="194">
        <f t="shared" si="2"/>
        <v>0.42691959905248411</v>
      </c>
      <c r="G42" s="198">
        <f t="shared" si="2"/>
        <v>1</v>
      </c>
      <c r="I42" s="197">
        <f t="shared" si="3"/>
        <v>541.79240040262027</v>
      </c>
      <c r="J42" s="194">
        <f t="shared" si="3"/>
        <v>251.6222511842353</v>
      </c>
      <c r="K42" s="194">
        <f t="shared" si="3"/>
        <v>87.547114087628373</v>
      </c>
      <c r="L42" s="194">
        <f t="shared" si="3"/>
        <v>49.724257571253197</v>
      </c>
      <c r="M42" s="194">
        <f t="shared" si="3"/>
        <v>2.5029880341643902</v>
      </c>
      <c r="N42" s="198">
        <f t="shared" si="3"/>
        <v>1</v>
      </c>
    </row>
    <row r="43" spans="1:14" ht="15" customHeight="1" thickBot="1" x14ac:dyDescent="0.4">
      <c r="A43" s="174" t="s">
        <v>14</v>
      </c>
      <c r="B43" s="200"/>
      <c r="C43" s="200"/>
      <c r="D43" s="200"/>
      <c r="E43" s="200"/>
      <c r="F43" s="200"/>
      <c r="G43" s="201"/>
      <c r="I43" s="199"/>
      <c r="J43" s="200"/>
      <c r="K43" s="200"/>
      <c r="L43" s="200"/>
      <c r="M43" s="200"/>
      <c r="N43" s="201"/>
    </row>
    <row r="65" spans="1:14" s="5" customFormat="1" ht="16.5" customHeight="1" x14ac:dyDescent="0.35">
      <c r="A65" s="5" t="s">
        <v>124</v>
      </c>
    </row>
    <row r="66" spans="1:14" ht="13.15" thickBot="1" x14ac:dyDescent="0.4">
      <c r="A66" s="191"/>
      <c r="B66" s="192"/>
      <c r="C66" s="40"/>
    </row>
    <row r="67" spans="1:14" ht="18" customHeight="1" x14ac:dyDescent="0.35">
      <c r="A67" s="634" t="s">
        <v>50</v>
      </c>
      <c r="B67" s="162" t="s">
        <v>92</v>
      </c>
      <c r="C67" s="162"/>
      <c r="D67" s="162"/>
      <c r="E67" s="162"/>
      <c r="F67" s="162"/>
      <c r="G67" s="163"/>
      <c r="I67" s="180" t="s">
        <v>93</v>
      </c>
      <c r="J67" s="162"/>
      <c r="K67" s="162"/>
      <c r="L67" s="162"/>
      <c r="M67" s="162"/>
      <c r="N67" s="163"/>
    </row>
    <row r="68" spans="1:14" ht="18" customHeight="1" x14ac:dyDescent="0.35">
      <c r="A68" s="635"/>
      <c r="B68" s="164" t="s">
        <v>15</v>
      </c>
      <c r="C68" s="164" t="s">
        <v>16</v>
      </c>
      <c r="D68" s="164" t="s">
        <v>17</v>
      </c>
      <c r="E68" s="164" t="s">
        <v>18</v>
      </c>
      <c r="F68" s="164" t="s">
        <v>19</v>
      </c>
      <c r="G68" s="165" t="s">
        <v>20</v>
      </c>
      <c r="I68" s="181" t="s">
        <v>15</v>
      </c>
      <c r="J68" s="164" t="s">
        <v>16</v>
      </c>
      <c r="K68" s="164" t="s">
        <v>17</v>
      </c>
      <c r="L68" s="164" t="s">
        <v>18</v>
      </c>
      <c r="M68" s="164" t="s">
        <v>19</v>
      </c>
      <c r="N68" s="165" t="s">
        <v>20</v>
      </c>
    </row>
    <row r="69" spans="1:14" ht="18" customHeight="1" x14ac:dyDescent="0.35">
      <c r="A69" s="168" t="s">
        <v>10</v>
      </c>
      <c r="B69" s="193">
        <f t="shared" ref="B69:G72" si="4">B29/B$32</f>
        <v>2.3577094331534085</v>
      </c>
      <c r="C69" s="193">
        <f t="shared" si="4"/>
        <v>1.9943618706201245</v>
      </c>
      <c r="D69" s="193">
        <f t="shared" si="4"/>
        <v>2.0029308243579389</v>
      </c>
      <c r="E69" s="193">
        <f t="shared" si="4"/>
        <v>2.2899674959548832</v>
      </c>
      <c r="F69" s="193">
        <f t="shared" si="4"/>
        <v>1.4698181525381615</v>
      </c>
      <c r="G69" s="196">
        <f t="shared" si="4"/>
        <v>24.70390975820321</v>
      </c>
      <c r="I69" s="195">
        <f t="shared" ref="I69:N72" si="5">I29/I$32</f>
        <v>3.4559561207417739</v>
      </c>
      <c r="J69" s="193">
        <f t="shared" si="5"/>
        <v>3.2384718490764266</v>
      </c>
      <c r="K69" s="193">
        <f t="shared" si="5"/>
        <v>3.6306759029090738</v>
      </c>
      <c r="L69" s="193">
        <f t="shared" si="5"/>
        <v>3.7597486495799357</v>
      </c>
      <c r="M69" s="193">
        <f t="shared" si="5"/>
        <v>3.1927389754187199</v>
      </c>
      <c r="N69" s="196">
        <f t="shared" si="5"/>
        <v>2.3788473589517927</v>
      </c>
    </row>
    <row r="70" spans="1:14" ht="18" customHeight="1" x14ac:dyDescent="0.35">
      <c r="A70" s="171" t="s">
        <v>11</v>
      </c>
      <c r="B70" s="194">
        <f t="shared" si="4"/>
        <v>3.3353449638871369</v>
      </c>
      <c r="C70" s="194">
        <f t="shared" si="4"/>
        <v>2.8208967180169471</v>
      </c>
      <c r="D70" s="194">
        <f t="shared" si="4"/>
        <v>3.4165899126618307</v>
      </c>
      <c r="E70" s="194">
        <f t="shared" si="4"/>
        <v>3.5573563999346312</v>
      </c>
      <c r="F70" s="194">
        <f t="shared" si="4"/>
        <v>2.9394218050465395</v>
      </c>
      <c r="G70" s="198">
        <f t="shared" si="4"/>
        <v>1.4287869706959984</v>
      </c>
      <c r="I70" s="197">
        <f t="shared" si="5"/>
        <v>3.2835643673794714</v>
      </c>
      <c r="J70" s="194">
        <f t="shared" si="5"/>
        <v>3.1207586508325544</v>
      </c>
      <c r="K70" s="194">
        <f t="shared" si="5"/>
        <v>3.6723859062190201</v>
      </c>
      <c r="L70" s="194">
        <f t="shared" si="5"/>
        <v>3.8394612080876254</v>
      </c>
      <c r="M70" s="194">
        <f t="shared" si="5"/>
        <v>3.2709871655543474</v>
      </c>
      <c r="N70" s="198">
        <f t="shared" si="5"/>
        <v>2.2360601879963014</v>
      </c>
    </row>
    <row r="71" spans="1:14" ht="18" customHeight="1" x14ac:dyDescent="0.35">
      <c r="A71" s="171" t="s">
        <v>12</v>
      </c>
      <c r="B71" s="194">
        <f t="shared" si="4"/>
        <v>1.93685803001113</v>
      </c>
      <c r="C71" s="194">
        <f t="shared" si="4"/>
        <v>1.8171529259273653</v>
      </c>
      <c r="D71" s="194">
        <f t="shared" si="4"/>
        <v>1.4325958828938625</v>
      </c>
      <c r="E71" s="194">
        <f t="shared" si="4"/>
        <v>1.3045570614500006</v>
      </c>
      <c r="F71" s="194">
        <f t="shared" si="4"/>
        <v>1.5323629142334676</v>
      </c>
      <c r="G71" s="198">
        <f t="shared" si="4"/>
        <v>1.4323919133912733</v>
      </c>
      <c r="I71" s="197">
        <f t="shared" si="5"/>
        <v>1.486213382304254</v>
      </c>
      <c r="J71" s="194">
        <f t="shared" si="5"/>
        <v>1.5443685864850907</v>
      </c>
      <c r="K71" s="194">
        <f t="shared" si="5"/>
        <v>1.4319469895625438</v>
      </c>
      <c r="L71" s="194">
        <f t="shared" si="5"/>
        <v>1.3695933439902657</v>
      </c>
      <c r="M71" s="194">
        <f t="shared" si="5"/>
        <v>1.4337858096852094</v>
      </c>
      <c r="N71" s="198">
        <f t="shared" si="5"/>
        <v>1.5048020975638245</v>
      </c>
    </row>
    <row r="72" spans="1:14" ht="18" customHeight="1" x14ac:dyDescent="0.35">
      <c r="A72" s="171" t="s">
        <v>13</v>
      </c>
      <c r="B72" s="194">
        <f t="shared" si="4"/>
        <v>1</v>
      </c>
      <c r="C72" s="194">
        <f t="shared" si="4"/>
        <v>1</v>
      </c>
      <c r="D72" s="194">
        <f t="shared" si="4"/>
        <v>1</v>
      </c>
      <c r="E72" s="194">
        <f t="shared" si="4"/>
        <v>1</v>
      </c>
      <c r="F72" s="194">
        <f t="shared" si="4"/>
        <v>1</v>
      </c>
      <c r="G72" s="198">
        <f t="shared" si="4"/>
        <v>1</v>
      </c>
      <c r="I72" s="197">
        <f t="shared" si="5"/>
        <v>1</v>
      </c>
      <c r="J72" s="194">
        <f t="shared" si="5"/>
        <v>1</v>
      </c>
      <c r="K72" s="194">
        <f t="shared" si="5"/>
        <v>1</v>
      </c>
      <c r="L72" s="194">
        <f t="shared" si="5"/>
        <v>1</v>
      </c>
      <c r="M72" s="194">
        <f t="shared" si="5"/>
        <v>1</v>
      </c>
      <c r="N72" s="198">
        <f t="shared" si="5"/>
        <v>1</v>
      </c>
    </row>
    <row r="73" spans="1:14" ht="18" customHeight="1" thickBot="1" x14ac:dyDescent="0.4">
      <c r="A73" s="251" t="s">
        <v>14</v>
      </c>
      <c r="B73" s="264"/>
      <c r="C73" s="264"/>
      <c r="D73" s="264"/>
      <c r="E73" s="264"/>
      <c r="F73" s="264"/>
      <c r="G73" s="265"/>
      <c r="I73" s="266"/>
      <c r="J73" s="264"/>
      <c r="K73" s="264"/>
      <c r="L73" s="264"/>
      <c r="M73" s="264"/>
      <c r="N73" s="265"/>
    </row>
    <row r="75" spans="1:14" s="5" customFormat="1" ht="16.5" customHeight="1" x14ac:dyDescent="0.35">
      <c r="A75" s="5" t="s">
        <v>118</v>
      </c>
    </row>
    <row r="76" spans="1:14" ht="13.15" thickBot="1" x14ac:dyDescent="0.4"/>
    <row r="77" spans="1:14" ht="18" customHeight="1" x14ac:dyDescent="0.35">
      <c r="A77" s="634" t="s">
        <v>94</v>
      </c>
      <c r="B77" s="162" t="s">
        <v>119</v>
      </c>
      <c r="C77" s="162"/>
      <c r="D77" s="162"/>
      <c r="E77" s="162"/>
      <c r="F77" s="162"/>
      <c r="G77" s="163"/>
      <c r="I77" s="180" t="s">
        <v>120</v>
      </c>
      <c r="J77" s="162"/>
      <c r="K77" s="162"/>
      <c r="L77" s="162"/>
      <c r="M77" s="162"/>
      <c r="N77" s="163"/>
    </row>
    <row r="78" spans="1:14" ht="18" customHeight="1" x14ac:dyDescent="0.35">
      <c r="A78" s="635"/>
      <c r="B78" s="164" t="s">
        <v>15</v>
      </c>
      <c r="C78" s="164" t="s">
        <v>16</v>
      </c>
      <c r="D78" s="164" t="s">
        <v>17</v>
      </c>
      <c r="E78" s="164" t="s">
        <v>18</v>
      </c>
      <c r="F78" s="164" t="s">
        <v>19</v>
      </c>
      <c r="G78" s="165" t="s">
        <v>20</v>
      </c>
      <c r="I78" s="181" t="s">
        <v>15</v>
      </c>
      <c r="J78" s="164" t="s">
        <v>16</v>
      </c>
      <c r="K78" s="164" t="s">
        <v>17</v>
      </c>
      <c r="L78" s="164" t="s">
        <v>18</v>
      </c>
      <c r="M78" s="164" t="s">
        <v>19</v>
      </c>
      <c r="N78" s="165" t="s">
        <v>20</v>
      </c>
    </row>
    <row r="79" spans="1:14" ht="18" customHeight="1" x14ac:dyDescent="0.35">
      <c r="A79" s="222" t="s">
        <v>95</v>
      </c>
      <c r="B79" s="223">
        <f>SUM(B80:F80)</f>
        <v>24.184825166583849</v>
      </c>
      <c r="C79" s="223">
        <f>G80</f>
        <v>0.53062133286280544</v>
      </c>
      <c r="D79" s="223"/>
      <c r="E79" s="223"/>
      <c r="F79" s="223"/>
      <c r="G79" s="224"/>
      <c r="I79" s="234">
        <f t="shared" ref="I79:M79" si="6">I29</f>
        <v>2.2109269980759988E-2</v>
      </c>
      <c r="J79" s="232">
        <f t="shared" si="6"/>
        <v>9.6219355598850514E-3</v>
      </c>
      <c r="K79" s="232">
        <f t="shared" si="6"/>
        <v>3.7532076387121732E-3</v>
      </c>
      <c r="L79" s="231">
        <f t="shared" si="6"/>
        <v>2.2074983808298082E-3</v>
      </c>
      <c r="M79" s="231">
        <f t="shared" si="6"/>
        <v>9.4361635942026198E-5</v>
      </c>
      <c r="N79" s="233">
        <f>N29</f>
        <v>2.8089231038319398E-5</v>
      </c>
    </row>
    <row r="80" spans="1:14" ht="18" customHeight="1" x14ac:dyDescent="0.35">
      <c r="A80" s="225" t="s">
        <v>96</v>
      </c>
      <c r="B80" s="497">
        <f>B29</f>
        <v>12.884618207992183</v>
      </c>
      <c r="C80" s="497">
        <f>C29</f>
        <v>6.8509012284028241</v>
      </c>
      <c r="D80" s="497">
        <f>D29</f>
        <v>2.184567243677964</v>
      </c>
      <c r="E80" s="497">
        <f t="shared" ref="D80:E83" si="7">E29</f>
        <v>1.7341171536480726</v>
      </c>
      <c r="F80" s="226">
        <f>IF(F29&lt;G29,SUM(F13:G13)/SUM(F21:G21),F29)</f>
        <v>0.53062133286280544</v>
      </c>
      <c r="G80" s="227">
        <f>IF(F29&lt;G29,SUM(F13:G13)/SUM(F21:G21),F29)</f>
        <v>0.53062133286280544</v>
      </c>
      <c r="I80" s="234">
        <f t="shared" ref="I80:N83" si="8">I29</f>
        <v>2.2109269980759988E-2</v>
      </c>
      <c r="J80" s="232">
        <f t="shared" si="8"/>
        <v>9.6219355598850514E-3</v>
      </c>
      <c r="K80" s="232">
        <f t="shared" si="8"/>
        <v>3.7532076387121732E-3</v>
      </c>
      <c r="L80" s="232">
        <f t="shared" si="8"/>
        <v>2.2074983808298082E-3</v>
      </c>
      <c r="M80" s="231">
        <f>M29</f>
        <v>9.4361635942026198E-5</v>
      </c>
      <c r="N80" s="235">
        <f>N29</f>
        <v>2.8089231038319398E-5</v>
      </c>
    </row>
    <row r="81" spans="1:14" ht="18" customHeight="1" x14ac:dyDescent="0.35">
      <c r="A81" s="225" t="s">
        <v>97</v>
      </c>
      <c r="B81" s="497">
        <f t="shared" ref="B81:C83" si="9">B30</f>
        <v>18.227286979191984</v>
      </c>
      <c r="C81" s="497">
        <f t="shared" si="9"/>
        <v>9.6901595820475102</v>
      </c>
      <c r="D81" s="497">
        <f t="shared" si="7"/>
        <v>3.7264244563584379</v>
      </c>
      <c r="E81" s="497">
        <f t="shared" si="7"/>
        <v>2.6938691338036072</v>
      </c>
      <c r="F81" s="226">
        <f t="shared" ref="F81:F83" si="10">IF(F30&lt;G30,SUM(F14:G14)/SUM(F22:G22),F30)</f>
        <v>5.5969677197350069E-2</v>
      </c>
      <c r="G81" s="227">
        <f t="shared" ref="G81:G83" si="11">IF(F30&lt;G30,SUM(F14:G14)/SUM(F22:G22),F30)</f>
        <v>5.5969677197350069E-2</v>
      </c>
      <c r="I81" s="234">
        <f t="shared" si="8"/>
        <v>2.1006404179117328E-2</v>
      </c>
      <c r="J81" s="232">
        <f t="shared" si="8"/>
        <v>9.2721938110495554E-3</v>
      </c>
      <c r="K81" s="232">
        <f t="shared" si="8"/>
        <v>3.7963253135528735E-3</v>
      </c>
      <c r="L81" s="232">
        <f t="shared" si="8"/>
        <v>2.2543008030760894E-3</v>
      </c>
      <c r="M81" s="231">
        <f t="shared" si="8"/>
        <v>9.6674266973735331E-5</v>
      </c>
      <c r="N81" s="235">
        <f t="shared" si="8"/>
        <v>2.6403212042950104E-5</v>
      </c>
    </row>
    <row r="82" spans="1:14" ht="18" customHeight="1" x14ac:dyDescent="0.35">
      <c r="A82" s="225" t="s">
        <v>98</v>
      </c>
      <c r="B82" s="497">
        <f t="shared" si="9"/>
        <v>10.584712386037898</v>
      </c>
      <c r="C82" s="497">
        <f t="shared" si="9"/>
        <v>6.242164672232053</v>
      </c>
      <c r="D82" s="497">
        <f t="shared" si="7"/>
        <v>1.5625112965152315</v>
      </c>
      <c r="E82" s="497">
        <f t="shared" si="7"/>
        <v>0.98789820474278889</v>
      </c>
      <c r="F82" s="226">
        <f t="shared" si="10"/>
        <v>4.5023547808678871E-2</v>
      </c>
      <c r="G82" s="227">
        <f t="shared" si="11"/>
        <v>4.5023547808678871E-2</v>
      </c>
      <c r="I82" s="234">
        <f t="shared" si="8"/>
        <v>9.5079601043460173E-3</v>
      </c>
      <c r="J82" s="232">
        <f t="shared" si="8"/>
        <v>4.5885268461135914E-3</v>
      </c>
      <c r="K82" s="232">
        <f t="shared" si="8"/>
        <v>1.4802737901091127E-3</v>
      </c>
      <c r="L82" s="232">
        <f t="shared" si="8"/>
        <v>8.0414287524023336E-4</v>
      </c>
      <c r="M82" s="231">
        <f t="shared" si="8"/>
        <v>4.2375645373457278E-5</v>
      </c>
      <c r="N82" s="235">
        <f t="shared" si="8"/>
        <v>1.7768577553476602E-5</v>
      </c>
    </row>
    <row r="83" spans="1:14" ht="18" customHeight="1" x14ac:dyDescent="0.35">
      <c r="A83" s="225" t="s">
        <v>99</v>
      </c>
      <c r="B83" s="497">
        <f t="shared" si="9"/>
        <v>5.4648880929992965</v>
      </c>
      <c r="C83" s="497">
        <f t="shared" si="9"/>
        <v>3.4351344805206354</v>
      </c>
      <c r="D83" s="497">
        <f t="shared" si="7"/>
        <v>1.0906853182901364</v>
      </c>
      <c r="E83" s="497">
        <f t="shared" si="7"/>
        <v>0.75726714755179125</v>
      </c>
      <c r="F83" s="226">
        <f t="shared" si="10"/>
        <v>3.059821336952967E-2</v>
      </c>
      <c r="G83" s="227">
        <f t="shared" si="11"/>
        <v>3.059821336952967E-2</v>
      </c>
      <c r="I83" s="234">
        <f t="shared" si="8"/>
        <v>6.3974394374007662E-3</v>
      </c>
      <c r="J83" s="232">
        <f t="shared" si="8"/>
        <v>2.9711345376150521E-3</v>
      </c>
      <c r="K83" s="232">
        <f t="shared" si="8"/>
        <v>1.03374901508144E-3</v>
      </c>
      <c r="L83" s="232">
        <f t="shared" si="8"/>
        <v>5.8713988262924029E-4</v>
      </c>
      <c r="M83" s="231">
        <f t="shared" si="8"/>
        <v>2.9555073768487732E-5</v>
      </c>
      <c r="N83" s="235">
        <f t="shared" si="8"/>
        <v>1.180791652420126E-5</v>
      </c>
    </row>
    <row r="84" spans="1:14" ht="18" customHeight="1" thickBot="1" x14ac:dyDescent="0.4">
      <c r="A84" s="258" t="s">
        <v>100</v>
      </c>
      <c r="B84" s="259"/>
      <c r="C84" s="259"/>
      <c r="D84" s="259"/>
      <c r="E84" s="259"/>
      <c r="F84" s="259"/>
      <c r="G84" s="260"/>
      <c r="I84" s="261"/>
      <c r="J84" s="262"/>
      <c r="K84" s="262"/>
      <c r="L84" s="262"/>
      <c r="M84" s="262"/>
      <c r="N84" s="263"/>
    </row>
    <row r="86" spans="1:14" s="5" customFormat="1" ht="16.5" customHeight="1" x14ac:dyDescent="0.35">
      <c r="A86" s="5" t="s">
        <v>125</v>
      </c>
    </row>
    <row r="87" spans="1:14" ht="5.25" customHeight="1" thickBot="1" x14ac:dyDescent="0.4"/>
    <row r="88" spans="1:14" ht="22.5" customHeight="1" x14ac:dyDescent="0.35">
      <c r="A88" s="638" t="s">
        <v>94</v>
      </c>
      <c r="B88" s="162" t="s">
        <v>122</v>
      </c>
      <c r="C88" s="162"/>
      <c r="D88" s="162"/>
      <c r="E88" s="636" t="s">
        <v>121</v>
      </c>
    </row>
    <row r="89" spans="1:14" ht="25.5" x14ac:dyDescent="0.35">
      <c r="A89" s="639"/>
      <c r="B89" s="239" t="s">
        <v>92</v>
      </c>
      <c r="C89" s="239" t="s">
        <v>93</v>
      </c>
      <c r="D89" s="239" t="s">
        <v>4</v>
      </c>
      <c r="E89" s="637"/>
    </row>
    <row r="90" spans="1:14" ht="18" customHeight="1" x14ac:dyDescent="0.35">
      <c r="A90" s="222" t="s">
        <v>95</v>
      </c>
      <c r="B90" s="240">
        <f>'I. Datos de entrada'!C120*B79+'I. Datos de entrada'!H120*C79</f>
        <v>3182278.26946803</v>
      </c>
      <c r="C90" s="242">
        <f>SUMPRODUCT(I79:N79,'I. Datos de entrada'!C106:H106)*1000</f>
        <v>329532.90612714575</v>
      </c>
      <c r="D90" s="243">
        <f>SUM(B90:C90)</f>
        <v>3511811.1755951755</v>
      </c>
      <c r="E90" s="245">
        <f t="shared" ref="E90:E94" si="12">B90/D90</f>
        <v>0.9061644007464903</v>
      </c>
    </row>
    <row r="91" spans="1:14" ht="18" customHeight="1" x14ac:dyDescent="0.35">
      <c r="A91" s="225" t="s">
        <v>96</v>
      </c>
      <c r="B91" s="242">
        <f>SUMPRODUCT(B80:G80,'I. Datos de entrada'!C121:H121)</f>
        <v>512401.02377603948</v>
      </c>
      <c r="C91" s="242">
        <f>SUMPRODUCT(I80:N80,'I. Datos de entrada'!C107:H107)*1000</f>
        <v>164212.37759446373</v>
      </c>
      <c r="D91" s="243">
        <f t="shared" ref="D91:D94" si="13">SUM(B91:C91)</f>
        <v>676613.40137050324</v>
      </c>
      <c r="E91" s="245">
        <f t="shared" si="12"/>
        <v>0.75730250500234542</v>
      </c>
      <c r="F91" s="286"/>
      <c r="G91" s="238"/>
    </row>
    <row r="92" spans="1:14" ht="18" customHeight="1" x14ac:dyDescent="0.35">
      <c r="A92" s="225" t="s">
        <v>97</v>
      </c>
      <c r="B92" s="242">
        <f>SUMPRODUCT(B81:G81,'I. Datos de entrada'!C122:H122)</f>
        <v>663727.61698933539</v>
      </c>
      <c r="C92" s="242">
        <f>SUMPRODUCT(I81:N81,'I. Datos de entrada'!C108:H108)*1000</f>
        <v>274511.89277554641</v>
      </c>
      <c r="D92" s="243">
        <f t="shared" si="13"/>
        <v>938239.5097648818</v>
      </c>
      <c r="E92" s="245">
        <f t="shared" si="12"/>
        <v>0.70741810601821942</v>
      </c>
      <c r="F92" s="238"/>
      <c r="G92" s="238"/>
      <c r="I92" s="238"/>
    </row>
    <row r="93" spans="1:14" ht="18" customHeight="1" x14ac:dyDescent="0.35">
      <c r="A93" s="225" t="s">
        <v>98</v>
      </c>
      <c r="B93" s="242">
        <f>SUMPRODUCT(B82:G82,'I. Datos de entrada'!C123:H123)</f>
        <v>94638.716931467148</v>
      </c>
      <c r="C93" s="242">
        <f>SUMPRODUCT(I82:N82,'I. Datos de entrada'!C109:H109)*1000</f>
        <v>37540.716010781114</v>
      </c>
      <c r="D93" s="243">
        <f t="shared" si="13"/>
        <v>132179.43294224827</v>
      </c>
      <c r="E93" s="245">
        <f t="shared" si="12"/>
        <v>0.71598670704554024</v>
      </c>
      <c r="F93" s="238"/>
      <c r="G93" s="238"/>
      <c r="I93" s="238"/>
    </row>
    <row r="94" spans="1:14" ht="18" customHeight="1" x14ac:dyDescent="0.35">
      <c r="A94" s="225" t="s">
        <v>99</v>
      </c>
      <c r="B94" s="242">
        <f>SUMPRODUCT(B83:G83,'I. Datos de entrada'!C124:H124)</f>
        <v>23157.19506433529</v>
      </c>
      <c r="C94" s="242">
        <f>SUMPRODUCT(I83:N83,'I. Datos de entrada'!C110:H110)*1000</f>
        <v>10270.297593438976</v>
      </c>
      <c r="D94" s="243">
        <f t="shared" si="13"/>
        <v>33427.492657774266</v>
      </c>
      <c r="E94" s="245">
        <f t="shared" si="12"/>
        <v>0.69275896045854335</v>
      </c>
      <c r="F94" s="238"/>
      <c r="G94" s="238"/>
      <c r="I94" s="238"/>
    </row>
    <row r="95" spans="1:14" ht="18" customHeight="1" thickBot="1" x14ac:dyDescent="0.4">
      <c r="A95" s="228" t="s">
        <v>100</v>
      </c>
      <c r="B95" s="267"/>
      <c r="C95" s="267"/>
      <c r="D95" s="268"/>
      <c r="E95" s="269"/>
      <c r="F95" s="238"/>
      <c r="G95" s="238"/>
    </row>
    <row r="96" spans="1:14" ht="7.5" customHeight="1" thickBot="1" x14ac:dyDescent="0.4"/>
    <row r="97" spans="1:5" ht="16.5" customHeight="1" thickBot="1" x14ac:dyDescent="0.4">
      <c r="A97" s="383" t="s">
        <v>1</v>
      </c>
      <c r="B97" s="377">
        <f>SUM(B90:B95)</f>
        <v>4476202.8222292066</v>
      </c>
      <c r="C97" s="377">
        <f>SUM(C90:C95)</f>
        <v>816068.19010137604</v>
      </c>
      <c r="D97" s="378">
        <f>SUM(B97:C97)</f>
        <v>5292271.0123305824</v>
      </c>
      <c r="E97" s="384">
        <f>B97/D97</f>
        <v>0.8458</v>
      </c>
    </row>
    <row r="98" spans="1:5" x14ac:dyDescent="0.35">
      <c r="B98" s="238">
        <f>B97-SUM(B13:G17)</f>
        <v>0</v>
      </c>
      <c r="C98" s="238">
        <f>C97-SUM(I13:N17)</f>
        <v>0</v>
      </c>
      <c r="D98" s="238">
        <f>D97-'I. Datos de entrada'!C31</f>
        <v>0</v>
      </c>
    </row>
  </sheetData>
  <mergeCells count="8">
    <mergeCell ref="A88:A89"/>
    <mergeCell ref="E88:E89"/>
    <mergeCell ref="A11:A12"/>
    <mergeCell ref="A19:A20"/>
    <mergeCell ref="A27:A28"/>
    <mergeCell ref="A37:A38"/>
    <mergeCell ref="A67:A68"/>
    <mergeCell ref="A77:A78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193-A5D5-4D0E-B0CA-8022B87F8669}">
  <dimension ref="A1:R79"/>
  <sheetViews>
    <sheetView showGridLines="0" topLeftCell="A25" workbookViewId="0">
      <selection activeCell="M15" sqref="M15"/>
    </sheetView>
  </sheetViews>
  <sheetFormatPr baseColWidth="10" defaultColWidth="11.3984375" defaultRowHeight="12.75" x14ac:dyDescent="0.35"/>
  <cols>
    <col min="1" max="1" width="13.265625" style="305" customWidth="1"/>
    <col min="2" max="2" width="16.3984375" style="305" bestFit="1" customWidth="1"/>
    <col min="3" max="3" width="14.73046875" style="305" bestFit="1" customWidth="1"/>
    <col min="4" max="4" width="16.59765625" style="305" bestFit="1" customWidth="1"/>
    <col min="5" max="5" width="13.73046875" style="305" bestFit="1" customWidth="1"/>
    <col min="6" max="6" width="13.265625" style="305" bestFit="1" customWidth="1"/>
    <col min="7" max="7" width="13" style="305" bestFit="1" customWidth="1"/>
    <col min="8" max="8" width="2.3984375" style="305" customWidth="1"/>
    <col min="9" max="9" width="22.73046875" style="305" bestFit="1" customWidth="1"/>
    <col min="10" max="10" width="16.59765625" style="305" customWidth="1"/>
    <col min="11" max="16384" width="11.3984375" style="305"/>
  </cols>
  <sheetData>
    <row r="1" spans="1:15" s="1" customFormat="1" x14ac:dyDescent="0.35"/>
    <row r="2" spans="1:15" s="1" customFormat="1" x14ac:dyDescent="0.35"/>
    <row r="3" spans="1:15" s="1" customFormat="1" x14ac:dyDescent="0.35"/>
    <row r="4" spans="1:15" s="1" customFormat="1" x14ac:dyDescent="0.35"/>
    <row r="5" spans="1:15" s="1" customFormat="1" x14ac:dyDescent="0.35"/>
    <row r="6" spans="1:15" s="366" customFormat="1" ht="29.25" customHeight="1" x14ac:dyDescent="0.35">
      <c r="A6" s="366" t="s">
        <v>199</v>
      </c>
    </row>
    <row r="7" spans="1:15" s="5" customFormat="1" ht="16.5" customHeight="1" x14ac:dyDescent="0.35">
      <c r="A7" s="5" t="s">
        <v>200</v>
      </c>
    </row>
    <row r="8" spans="1:15" ht="5.25" customHeight="1" thickBot="1" x14ac:dyDescent="0.4"/>
    <row r="9" spans="1:15" s="308" customFormat="1" ht="25.15" customHeight="1" x14ac:dyDescent="0.35">
      <c r="A9" s="642" t="s">
        <v>139</v>
      </c>
      <c r="B9" s="306" t="s">
        <v>140</v>
      </c>
      <c r="C9" s="306"/>
      <c r="D9" s="306"/>
      <c r="E9" s="306"/>
      <c r="F9" s="306"/>
      <c r="G9" s="307"/>
    </row>
    <row r="10" spans="1:15" s="308" customFormat="1" ht="25.15" customHeight="1" x14ac:dyDescent="0.35">
      <c r="A10" s="643"/>
      <c r="B10" s="309" t="s">
        <v>15</v>
      </c>
      <c r="C10" s="309" t="s">
        <v>16</v>
      </c>
      <c r="D10" s="309" t="s">
        <v>17</v>
      </c>
      <c r="E10" s="309" t="s">
        <v>18</v>
      </c>
      <c r="F10" s="309" t="s">
        <v>19</v>
      </c>
      <c r="G10" s="310" t="s">
        <v>20</v>
      </c>
    </row>
    <row r="11" spans="1:15" ht="30" customHeight="1" thickBot="1" x14ac:dyDescent="0.4">
      <c r="A11" s="311" t="s">
        <v>95</v>
      </c>
      <c r="B11" s="312">
        <f>'I. Datos de entrada'!C106*1000</f>
        <v>8196969.6245033611</v>
      </c>
      <c r="C11" s="312">
        <f>'I. Datos de entrada'!D106*1000</f>
        <v>9994179.117783932</v>
      </c>
      <c r="D11" s="312">
        <f>'I. Datos de entrada'!E106*1000</f>
        <v>8232868.8032958694</v>
      </c>
      <c r="E11" s="312">
        <f>'I. Datos de entrada'!F106*1000</f>
        <v>9024248.3968790919</v>
      </c>
      <c r="F11" s="312">
        <f>'I. Datos de entrada'!G106*1000</f>
        <v>3526467.3655970218</v>
      </c>
      <c r="G11" s="313">
        <f>'I. Datos de entrada'!H106*1000</f>
        <v>35141623.963431664</v>
      </c>
      <c r="H11" s="314"/>
      <c r="I11" s="315"/>
      <c r="J11" s="314"/>
      <c r="K11" s="314"/>
      <c r="L11" s="314"/>
      <c r="M11" s="314"/>
      <c r="N11" s="314"/>
      <c r="O11" s="308"/>
    </row>
    <row r="12" spans="1:15" ht="13.15" thickBot="1" x14ac:dyDescent="0.4"/>
    <row r="13" spans="1:15" s="308" customFormat="1" ht="25.15" customHeight="1" x14ac:dyDescent="0.35">
      <c r="A13" s="642" t="s">
        <v>50</v>
      </c>
      <c r="B13" s="306" t="s">
        <v>145</v>
      </c>
      <c r="C13" s="306"/>
      <c r="D13" s="306"/>
      <c r="E13" s="306"/>
      <c r="F13" s="306"/>
      <c r="G13" s="307"/>
    </row>
    <row r="14" spans="1:15" s="308" customFormat="1" ht="25.15" customHeight="1" x14ac:dyDescent="0.35">
      <c r="A14" s="643"/>
      <c r="B14" s="309" t="s">
        <v>15</v>
      </c>
      <c r="C14" s="309" t="s">
        <v>16</v>
      </c>
      <c r="D14" s="309" t="s">
        <v>17</v>
      </c>
      <c r="E14" s="309" t="s">
        <v>18</v>
      </c>
      <c r="F14" s="309" t="s">
        <v>19</v>
      </c>
      <c r="G14" s="310" t="s">
        <v>20</v>
      </c>
    </row>
    <row r="15" spans="1:15" s="308" customFormat="1" ht="25.15" customHeight="1" x14ac:dyDescent="0.35">
      <c r="A15" s="327" t="s">
        <v>2</v>
      </c>
      <c r="B15" s="328">
        <f>'Va. Peajes transporte'!I79</f>
        <v>6.4190565877730752E-3</v>
      </c>
      <c r="C15" s="328">
        <f>'Va. Peajes transporte'!J79</f>
        <v>2.7210570539338438E-3</v>
      </c>
      <c r="D15" s="328">
        <f>'Va. Peajes transporte'!K79</f>
        <v>9.1961091357015612E-4</v>
      </c>
      <c r="E15" s="328">
        <f>'Va. Peajes transporte'!L79</f>
        <v>4.7528971352375142E-4</v>
      </c>
      <c r="F15" s="328">
        <f>'Va. Peajes transporte'!M79</f>
        <v>2.4731054965872661E-5</v>
      </c>
      <c r="G15" s="329">
        <f>'Va. Peajes transporte'!N79</f>
        <v>2.8325419185508605E-6</v>
      </c>
    </row>
    <row r="16" spans="1:15" ht="30" customHeight="1" thickBot="1" x14ac:dyDescent="0.4">
      <c r="A16" s="311" t="s">
        <v>143</v>
      </c>
      <c r="B16" s="330">
        <f>'Vb. Peajes distribución'!I79</f>
        <v>2.2109269980759988E-2</v>
      </c>
      <c r="C16" s="330">
        <f>'Vb. Peajes distribución'!J79</f>
        <v>9.6219355598850514E-3</v>
      </c>
      <c r="D16" s="330">
        <f>'Vb. Peajes distribución'!K79</f>
        <v>3.7532076387121732E-3</v>
      </c>
      <c r="E16" s="330">
        <f>'Vb. Peajes distribución'!L79</f>
        <v>2.2074983808298082E-3</v>
      </c>
      <c r="F16" s="330">
        <f>'Vb. Peajes distribución'!M79</f>
        <v>9.4361635942026198E-5</v>
      </c>
      <c r="G16" s="331">
        <f>'Vb. Peajes distribución'!N79</f>
        <v>2.8089231038319398E-5</v>
      </c>
      <c r="H16" s="314"/>
      <c r="I16" s="315"/>
      <c r="J16" s="314"/>
      <c r="K16" s="314"/>
      <c r="L16" s="314"/>
      <c r="M16" s="314"/>
      <c r="N16" s="314"/>
      <c r="O16" s="308"/>
    </row>
    <row r="17" spans="1:15" ht="13.15" thickBot="1" x14ac:dyDescent="0.4"/>
    <row r="18" spans="1:15" s="308" customFormat="1" ht="25.15" customHeight="1" x14ac:dyDescent="0.35">
      <c r="A18" s="642" t="s">
        <v>139</v>
      </c>
      <c r="B18" s="306" t="s">
        <v>141</v>
      </c>
      <c r="C18" s="306"/>
      <c r="D18" s="306"/>
      <c r="E18" s="306"/>
      <c r="F18" s="306"/>
      <c r="G18" s="307"/>
      <c r="I18" s="640" t="s">
        <v>146</v>
      </c>
    </row>
    <row r="19" spans="1:15" s="308" customFormat="1" ht="25.15" customHeight="1" x14ac:dyDescent="0.35">
      <c r="A19" s="643"/>
      <c r="B19" s="309" t="s">
        <v>15</v>
      </c>
      <c r="C19" s="309" t="s">
        <v>16</v>
      </c>
      <c r="D19" s="309" t="s">
        <v>17</v>
      </c>
      <c r="E19" s="309" t="s">
        <v>18</v>
      </c>
      <c r="F19" s="309" t="s">
        <v>19</v>
      </c>
      <c r="G19" s="310" t="s">
        <v>20</v>
      </c>
      <c r="I19" s="641"/>
    </row>
    <row r="20" spans="1:15" s="308" customFormat="1" ht="25.15" customHeight="1" x14ac:dyDescent="0.35">
      <c r="A20" s="327" t="s">
        <v>2</v>
      </c>
      <c r="B20" s="336">
        <f>B11*B15</f>
        <v>52616.811867944089</v>
      </c>
      <c r="C20" s="336">
        <f t="shared" ref="C20:G20" si="0">C11*C15</f>
        <v>27194.731586724287</v>
      </c>
      <c r="D20" s="336">
        <f t="shared" si="0"/>
        <v>7571.0360015021524</v>
      </c>
      <c r="E20" s="336">
        <f t="shared" si="0"/>
        <v>4289.132435319837</v>
      </c>
      <c r="F20" s="336">
        <f t="shared" si="0"/>
        <v>87.213258253936104</v>
      </c>
      <c r="G20" s="337">
        <f t="shared" si="0"/>
        <v>99.540122962371612</v>
      </c>
      <c r="I20" s="358">
        <f>SUM(B20:H20)</f>
        <v>91858.465272706671</v>
      </c>
    </row>
    <row r="21" spans="1:15" ht="30" customHeight="1" thickBot="1" x14ac:dyDescent="0.4">
      <c r="A21" s="311" t="s">
        <v>143</v>
      </c>
      <c r="B21" s="332">
        <f>B11*B$16</f>
        <v>181229.01445223362</v>
      </c>
      <c r="C21" s="332">
        <f t="shared" ref="C21:G21" si="1">C11*C$16</f>
        <v>96163.347445265827</v>
      </c>
      <c r="D21" s="332">
        <f t="shared" si="1"/>
        <v>30899.666081045205</v>
      </c>
      <c r="E21" s="332">
        <f t="shared" si="1"/>
        <v>19921.013724316588</v>
      </c>
      <c r="F21" s="332">
        <f t="shared" si="1"/>
        <v>332.76322971390238</v>
      </c>
      <c r="G21" s="333">
        <f t="shared" si="1"/>
        <v>987.1011945705734</v>
      </c>
      <c r="H21" s="314"/>
      <c r="I21" s="359">
        <f>SUM(B21:H21)</f>
        <v>329532.90612714575</v>
      </c>
      <c r="J21" s="315"/>
      <c r="K21" s="314"/>
      <c r="L21" s="314"/>
      <c r="M21" s="314"/>
      <c r="N21" s="314"/>
      <c r="O21" s="308"/>
    </row>
    <row r="22" spans="1:15" ht="13.15" thickBot="1" x14ac:dyDescent="0.4"/>
    <row r="23" spans="1:15" ht="25.15" customHeight="1" x14ac:dyDescent="0.35">
      <c r="A23" s="642" t="s">
        <v>137</v>
      </c>
      <c r="B23" s="306" t="s">
        <v>208</v>
      </c>
      <c r="C23" s="306"/>
      <c r="D23" s="306"/>
      <c r="E23" s="306"/>
      <c r="F23" s="306"/>
      <c r="G23" s="307"/>
    </row>
    <row r="24" spans="1:15" ht="25.15" customHeight="1" x14ac:dyDescent="0.35">
      <c r="A24" s="643"/>
      <c r="B24" s="309" t="s">
        <v>15</v>
      </c>
      <c r="C24" s="309" t="s">
        <v>16</v>
      </c>
      <c r="D24" s="309" t="s">
        <v>17</v>
      </c>
      <c r="E24" s="309" t="s">
        <v>18</v>
      </c>
      <c r="F24" s="309" t="s">
        <v>19</v>
      </c>
      <c r="G24" s="310" t="s">
        <v>20</v>
      </c>
    </row>
    <row r="25" spans="1:15" s="308" customFormat="1" ht="25.15" customHeight="1" x14ac:dyDescent="0.35">
      <c r="A25" s="334" t="s">
        <v>15</v>
      </c>
      <c r="B25" s="316">
        <f>'I. Datos de entrada'!C143</f>
        <v>0.90701716605535798</v>
      </c>
      <c r="C25" s="316">
        <f>'I. Datos de entrada'!D143</f>
        <v>0.35225725769194821</v>
      </c>
      <c r="D25" s="316">
        <f>'I. Datos de entrada'!E143</f>
        <v>0.59932953365706654</v>
      </c>
      <c r="E25" s="316">
        <f>'I. Datos de entrada'!F143</f>
        <v>0.4746275450914384</v>
      </c>
      <c r="F25" s="316">
        <f>'I. Datos de entrada'!G143</f>
        <v>0</v>
      </c>
      <c r="G25" s="317">
        <f>'I. Datos de entrada'!H143</f>
        <v>0</v>
      </c>
    </row>
    <row r="26" spans="1:15" s="308" customFormat="1" ht="25.15" customHeight="1" x14ac:dyDescent="0.35">
      <c r="A26" s="334" t="s">
        <v>16</v>
      </c>
      <c r="B26" s="318">
        <f>'I. Datos de entrada'!C144</f>
        <v>9.2982833944642004E-2</v>
      </c>
      <c r="C26" s="318">
        <f>'I. Datos de entrada'!D144</f>
        <v>0.64774274230805173</v>
      </c>
      <c r="D26" s="318">
        <f>'I. Datos de entrada'!E144</f>
        <v>0.40067046634293346</v>
      </c>
      <c r="E26" s="318">
        <f>'I. Datos de entrada'!F144</f>
        <v>0.52537245490856144</v>
      </c>
      <c r="F26" s="318">
        <f>'I. Datos de entrada'!G144</f>
        <v>1</v>
      </c>
      <c r="G26" s="317">
        <f>'I. Datos de entrada'!H144</f>
        <v>0</v>
      </c>
    </row>
    <row r="27" spans="1:15" s="308" customFormat="1" ht="25.15" customHeight="1" x14ac:dyDescent="0.35">
      <c r="A27" s="334" t="s">
        <v>17</v>
      </c>
      <c r="B27" s="318">
        <f>'I. Datos de entrada'!C145</f>
        <v>0</v>
      </c>
      <c r="C27" s="318">
        <f>'I. Datos de entrada'!D145</f>
        <v>0</v>
      </c>
      <c r="D27" s="318">
        <f>'I. Datos de entrada'!E145</f>
        <v>0</v>
      </c>
      <c r="E27" s="318">
        <f>'I. Datos de entrada'!F145</f>
        <v>0</v>
      </c>
      <c r="F27" s="318">
        <f>'I. Datos de entrada'!G145</f>
        <v>0</v>
      </c>
      <c r="G27" s="317">
        <f>'I. Datos de entrada'!H145</f>
        <v>1</v>
      </c>
    </row>
    <row r="28" spans="1:15" s="308" customFormat="1" ht="25.15" customHeight="1" thickBot="1" x14ac:dyDescent="0.4">
      <c r="A28" s="370" t="s">
        <v>4</v>
      </c>
      <c r="B28" s="374">
        <f>SUM(B25:B27)</f>
        <v>1</v>
      </c>
      <c r="C28" s="374">
        <f t="shared" ref="C28:G28" si="2">SUM(C25:C27)</f>
        <v>1</v>
      </c>
      <c r="D28" s="374">
        <f t="shared" si="2"/>
        <v>1</v>
      </c>
      <c r="E28" s="374">
        <f t="shared" si="2"/>
        <v>0.99999999999999978</v>
      </c>
      <c r="F28" s="374">
        <f t="shared" si="2"/>
        <v>1</v>
      </c>
      <c r="G28" s="375">
        <f t="shared" si="2"/>
        <v>1</v>
      </c>
    </row>
    <row r="29" spans="1:15" s="308" customFormat="1" ht="25.15" customHeight="1" x14ac:dyDescent="0.35">
      <c r="A29" s="338"/>
      <c r="B29" s="339"/>
      <c r="C29" s="339"/>
      <c r="D29" s="339"/>
      <c r="E29" s="339"/>
      <c r="F29" s="339"/>
      <c r="G29" s="339"/>
    </row>
    <row r="30" spans="1:15" ht="13.15" thickBot="1" x14ac:dyDescent="0.4">
      <c r="B30" s="319"/>
    </row>
    <row r="31" spans="1:15" ht="25.15" customHeight="1" x14ac:dyDescent="0.35">
      <c r="A31" s="642" t="s">
        <v>137</v>
      </c>
      <c r="B31" s="306" t="s">
        <v>138</v>
      </c>
      <c r="C31" s="306"/>
      <c r="D31" s="306"/>
      <c r="E31" s="306"/>
      <c r="F31" s="306"/>
      <c r="G31" s="307"/>
      <c r="I31" s="640" t="s">
        <v>142</v>
      </c>
    </row>
    <row r="32" spans="1:15" ht="25.15" customHeight="1" x14ac:dyDescent="0.35">
      <c r="A32" s="643"/>
      <c r="B32" s="309" t="s">
        <v>15</v>
      </c>
      <c r="C32" s="309" t="s">
        <v>16</v>
      </c>
      <c r="D32" s="309" t="s">
        <v>17</v>
      </c>
      <c r="E32" s="309" t="s">
        <v>18</v>
      </c>
      <c r="F32" s="309" t="s">
        <v>19</v>
      </c>
      <c r="G32" s="310" t="s">
        <v>20</v>
      </c>
      <c r="I32" s="641"/>
    </row>
    <row r="33" spans="1:9" s="308" customFormat="1" ht="25.15" customHeight="1" x14ac:dyDescent="0.35">
      <c r="A33" s="345" t="s">
        <v>2</v>
      </c>
      <c r="B33" s="320"/>
      <c r="C33" s="320"/>
      <c r="D33" s="320"/>
      <c r="E33" s="320"/>
      <c r="F33" s="320"/>
      <c r="G33" s="321"/>
      <c r="I33" s="340">
        <f>SUM(I34:I36)</f>
        <v>91858.465272706671</v>
      </c>
    </row>
    <row r="34" spans="1:9" s="308" customFormat="1" ht="25.15" customHeight="1" x14ac:dyDescent="0.35">
      <c r="A34" s="334" t="s">
        <v>15</v>
      </c>
      <c r="B34" s="323">
        <f>B$20*B25</f>
        <v>47724.351587330573</v>
      </c>
      <c r="C34" s="323">
        <f t="shared" ref="C34:G34" si="3">C$20*C25</f>
        <v>9579.5415724081013</v>
      </c>
      <c r="D34" s="323">
        <f t="shared" si="3"/>
        <v>4537.5454760811472</v>
      </c>
      <c r="E34" s="323">
        <f t="shared" si="3"/>
        <v>2035.7403983479169</v>
      </c>
      <c r="F34" s="323">
        <f t="shared" si="3"/>
        <v>0</v>
      </c>
      <c r="G34" s="341">
        <f t="shared" si="3"/>
        <v>0</v>
      </c>
      <c r="I34" s="322">
        <f>SUM(B34:H34)</f>
        <v>63877.179034167741</v>
      </c>
    </row>
    <row r="35" spans="1:9" s="308" customFormat="1" ht="25.15" customHeight="1" x14ac:dyDescent="0.35">
      <c r="A35" s="334" t="s">
        <v>16</v>
      </c>
      <c r="B35" s="323">
        <f t="shared" ref="B35:G36" si="4">B$20*B26</f>
        <v>4892.4602806135135</v>
      </c>
      <c r="C35" s="323">
        <f t="shared" si="4"/>
        <v>17615.190014316184</v>
      </c>
      <c r="D35" s="323">
        <f t="shared" si="4"/>
        <v>3033.4905254210057</v>
      </c>
      <c r="E35" s="323">
        <f t="shared" si="4"/>
        <v>2253.3920369719194</v>
      </c>
      <c r="F35" s="323">
        <f t="shared" si="4"/>
        <v>87.213258253936104</v>
      </c>
      <c r="G35" s="341">
        <f t="shared" si="4"/>
        <v>0</v>
      </c>
      <c r="I35" s="322">
        <f t="shared" ref="I35:I36" si="5">SUM(B35:H35)</f>
        <v>27881.74611557656</v>
      </c>
    </row>
    <row r="36" spans="1:9" s="308" customFormat="1" ht="25.15" customHeight="1" x14ac:dyDescent="0.35">
      <c r="A36" s="334" t="s">
        <v>17</v>
      </c>
      <c r="B36" s="323">
        <f t="shared" si="4"/>
        <v>0</v>
      </c>
      <c r="C36" s="323">
        <f t="shared" si="4"/>
        <v>0</v>
      </c>
      <c r="D36" s="323">
        <f t="shared" si="4"/>
        <v>0</v>
      </c>
      <c r="E36" s="323">
        <f t="shared" si="4"/>
        <v>0</v>
      </c>
      <c r="F36" s="323">
        <f t="shared" si="4"/>
        <v>0</v>
      </c>
      <c r="G36" s="341">
        <f t="shared" si="4"/>
        <v>99.540122962371612</v>
      </c>
      <c r="I36" s="322">
        <f t="shared" si="5"/>
        <v>99.540122962371612</v>
      </c>
    </row>
    <row r="37" spans="1:9" s="308" customFormat="1" ht="25.15" customHeight="1" x14ac:dyDescent="0.35">
      <c r="A37" s="345" t="s">
        <v>144</v>
      </c>
      <c r="B37" s="323"/>
      <c r="C37" s="323"/>
      <c r="D37" s="323"/>
      <c r="E37" s="323"/>
      <c r="F37" s="323"/>
      <c r="G37" s="321"/>
      <c r="I37" s="340">
        <f>SUM(I38:I40)</f>
        <v>329532.90612714569</v>
      </c>
    </row>
    <row r="38" spans="1:9" s="308" customFormat="1" ht="25.15" customHeight="1" x14ac:dyDescent="0.35">
      <c r="A38" s="334" t="s">
        <v>15</v>
      </c>
      <c r="B38" s="323">
        <f>B$21*B25</f>
        <v>164377.82709547045</v>
      </c>
      <c r="C38" s="323">
        <f t="shared" ref="C38:G38" si="6">C$21*C25</f>
        <v>33874.237061547356</v>
      </c>
      <c r="D38" s="323">
        <f t="shared" si="6"/>
        <v>18519.082462511898</v>
      </c>
      <c r="E38" s="323">
        <f t="shared" si="6"/>
        <v>9455.0618397052349</v>
      </c>
      <c r="F38" s="323">
        <f t="shared" si="6"/>
        <v>0</v>
      </c>
      <c r="G38" s="321">
        <f t="shared" si="6"/>
        <v>0</v>
      </c>
      <c r="I38" s="322">
        <f>SUM(B38:H38)</f>
        <v>226226.20845923494</v>
      </c>
    </row>
    <row r="39" spans="1:9" s="308" customFormat="1" ht="25.15" customHeight="1" x14ac:dyDescent="0.35">
      <c r="A39" s="334" t="s">
        <v>16</v>
      </c>
      <c r="B39" s="323">
        <f>B$21*B26</f>
        <v>16851.187356763163</v>
      </c>
      <c r="C39" s="323">
        <f t="shared" ref="C39:G40" si="7">C$21*C26</f>
        <v>62289.110383718464</v>
      </c>
      <c r="D39" s="323">
        <f t="shared" si="7"/>
        <v>12380.583618533305</v>
      </c>
      <c r="E39" s="323">
        <f t="shared" si="7"/>
        <v>10465.95188461135</v>
      </c>
      <c r="F39" s="323">
        <f t="shared" si="7"/>
        <v>332.76322971390238</v>
      </c>
      <c r="G39" s="321">
        <f t="shared" si="7"/>
        <v>0</v>
      </c>
      <c r="I39" s="322">
        <f t="shared" ref="I39:I40" si="8">SUM(B39:H39)</f>
        <v>102319.59647334018</v>
      </c>
    </row>
    <row r="40" spans="1:9" s="308" customFormat="1" ht="25.15" customHeight="1" thickBot="1" x14ac:dyDescent="0.4">
      <c r="A40" s="335" t="s">
        <v>17</v>
      </c>
      <c r="B40" s="324">
        <f>B$21*B27</f>
        <v>0</v>
      </c>
      <c r="C40" s="324">
        <f t="shared" si="7"/>
        <v>0</v>
      </c>
      <c r="D40" s="324">
        <f t="shared" si="7"/>
        <v>0</v>
      </c>
      <c r="E40" s="324">
        <f t="shared" si="7"/>
        <v>0</v>
      </c>
      <c r="F40" s="324">
        <f t="shared" si="7"/>
        <v>0</v>
      </c>
      <c r="G40" s="325">
        <f t="shared" si="7"/>
        <v>987.1011945705734</v>
      </c>
      <c r="I40" s="326">
        <f t="shared" si="8"/>
        <v>987.1011945705734</v>
      </c>
    </row>
    <row r="42" spans="1:9" ht="13.15" thickBot="1" x14ac:dyDescent="0.4"/>
    <row r="43" spans="1:9" ht="60" customHeight="1" x14ac:dyDescent="0.35">
      <c r="A43" s="463" t="s">
        <v>206</v>
      </c>
      <c r="B43" s="464" t="s">
        <v>203</v>
      </c>
    </row>
    <row r="44" spans="1:9" s="308" customFormat="1" ht="25.15" customHeight="1" x14ac:dyDescent="0.35">
      <c r="A44" s="469" t="s">
        <v>15</v>
      </c>
      <c r="B44" s="321">
        <f>'I. Datos de entrada'!$C$105*1000</f>
        <v>20173346.131329689</v>
      </c>
      <c r="C44" s="305"/>
      <c r="D44" s="305"/>
      <c r="E44" s="305"/>
      <c r="F44" s="305"/>
      <c r="G44" s="305"/>
    </row>
    <row r="45" spans="1:9" s="308" customFormat="1" ht="25.15" customHeight="1" x14ac:dyDescent="0.35">
      <c r="A45" s="469" t="s">
        <v>16</v>
      </c>
      <c r="B45" s="321">
        <f>'I. Datos de entrada'!$D$105*1000</f>
        <v>18801387.176729582</v>
      </c>
      <c r="C45" s="305"/>
      <c r="D45" s="305"/>
      <c r="E45" s="305"/>
      <c r="F45" s="305"/>
      <c r="G45" s="305"/>
    </row>
    <row r="46" spans="1:9" s="308" customFormat="1" ht="25.15" customHeight="1" thickBot="1" x14ac:dyDescent="0.4">
      <c r="A46" s="470" t="s">
        <v>17</v>
      </c>
      <c r="B46" s="325">
        <f>'I. Datos de entrada'!$E$105*1000</f>
        <v>35141623.963431664</v>
      </c>
      <c r="C46" s="305"/>
      <c r="D46" s="305"/>
      <c r="E46" s="305"/>
      <c r="F46" s="305"/>
      <c r="G46" s="305"/>
    </row>
    <row r="47" spans="1:9" ht="13.15" thickBot="1" x14ac:dyDescent="0.4"/>
    <row r="48" spans="1:9" ht="25.15" customHeight="1" x14ac:dyDescent="0.35">
      <c r="A48" s="642" t="s">
        <v>139</v>
      </c>
      <c r="B48" s="306" t="s">
        <v>158</v>
      </c>
      <c r="C48" s="306"/>
      <c r="D48" s="307"/>
    </row>
    <row r="49" spans="1:15" ht="25.15" customHeight="1" x14ac:dyDescent="0.35">
      <c r="A49" s="643"/>
      <c r="B49" s="309" t="s">
        <v>15</v>
      </c>
      <c r="C49" s="309" t="s">
        <v>16</v>
      </c>
      <c r="D49" s="310" t="s">
        <v>17</v>
      </c>
    </row>
    <row r="50" spans="1:15" ht="30" customHeight="1" x14ac:dyDescent="0.35">
      <c r="A50" s="344" t="s">
        <v>2</v>
      </c>
      <c r="B50" s="457">
        <f>I34/B44</f>
        <v>3.1664146650894447E-3</v>
      </c>
      <c r="C50" s="457">
        <f>I35/B45</f>
        <v>1.4829621800505077E-3</v>
      </c>
      <c r="D50" s="458">
        <f>I36/B46</f>
        <v>2.8325419185508605E-6</v>
      </c>
      <c r="I50" s="315"/>
      <c r="J50" s="314"/>
      <c r="K50" s="314"/>
      <c r="L50" s="314"/>
      <c r="M50" s="314"/>
      <c r="N50" s="314"/>
      <c r="O50" s="308"/>
    </row>
    <row r="51" spans="1:15" ht="30" customHeight="1" x14ac:dyDescent="0.35">
      <c r="A51" s="344" t="s">
        <v>143</v>
      </c>
      <c r="B51" s="457">
        <f>I38/B44</f>
        <v>1.121411425682625E-2</v>
      </c>
      <c r="C51" s="457">
        <f>I39/B45</f>
        <v>5.4421301743086715E-3</v>
      </c>
      <c r="D51" s="458">
        <f>I40/B46</f>
        <v>2.8089231038319398E-5</v>
      </c>
      <c r="I51" s="315"/>
      <c r="J51" s="314"/>
      <c r="K51" s="314"/>
      <c r="L51" s="314"/>
      <c r="M51" s="314"/>
      <c r="N51" s="314"/>
      <c r="O51" s="308"/>
    </row>
    <row r="52" spans="1:15" ht="30" customHeight="1" thickBot="1" x14ac:dyDescent="0.4">
      <c r="A52" s="370" t="s">
        <v>147</v>
      </c>
      <c r="B52" s="372">
        <f>SUM(B50:B51)</f>
        <v>1.4380528921915695E-2</v>
      </c>
      <c r="C52" s="372">
        <f t="shared" ref="C52:D52" si="9">SUM(C50:C51)</f>
        <v>6.925092354359179E-3</v>
      </c>
      <c r="D52" s="373">
        <f t="shared" si="9"/>
        <v>3.092177295687026E-5</v>
      </c>
      <c r="I52" s="315"/>
      <c r="J52" s="314"/>
      <c r="K52" s="314"/>
      <c r="L52" s="314"/>
      <c r="M52" s="314"/>
      <c r="N52" s="314"/>
      <c r="O52" s="308"/>
    </row>
    <row r="53" spans="1:15" x14ac:dyDescent="0.35">
      <c r="A53" s="342"/>
      <c r="B53" s="343"/>
      <c r="C53" s="343"/>
      <c r="D53" s="343"/>
      <c r="I53" s="315"/>
      <c r="J53" s="314"/>
      <c r="K53" s="314"/>
      <c r="L53" s="314"/>
      <c r="M53" s="314"/>
      <c r="N53" s="314"/>
      <c r="O53" s="308"/>
    </row>
    <row r="55" spans="1:15" s="5" customFormat="1" ht="16.5" customHeight="1" x14ac:dyDescent="0.35">
      <c r="A55" s="5" t="s">
        <v>148</v>
      </c>
    </row>
    <row r="56" spans="1:15" ht="5.25" customHeight="1" thickBot="1" x14ac:dyDescent="0.4"/>
    <row r="57" spans="1:15" ht="23.25" customHeight="1" x14ac:dyDescent="0.35">
      <c r="A57" s="642" t="s">
        <v>139</v>
      </c>
      <c r="B57" s="162" t="s">
        <v>151</v>
      </c>
      <c r="C57" s="162"/>
      <c r="D57" s="162"/>
      <c r="E57" s="636" t="s">
        <v>121</v>
      </c>
    </row>
    <row r="58" spans="1:15" ht="38.25" x14ac:dyDescent="0.35">
      <c r="A58" s="643"/>
      <c r="B58" s="239" t="s">
        <v>153</v>
      </c>
      <c r="C58" s="239" t="s">
        <v>154</v>
      </c>
      <c r="D58" s="239" t="s">
        <v>155</v>
      </c>
      <c r="E58" s="637"/>
    </row>
    <row r="59" spans="1:15" customFormat="1" ht="18" customHeight="1" x14ac:dyDescent="0.35">
      <c r="A59" s="346" t="s">
        <v>149</v>
      </c>
      <c r="B59" s="349">
        <f>'Va. Peajes transporte'!B90</f>
        <v>413719.89070262777</v>
      </c>
      <c r="C59" s="349">
        <f>'Va. Peajes transporte'!C90</f>
        <v>91858.465272706686</v>
      </c>
      <c r="D59" s="349">
        <f>SUM(B59:C59)</f>
        <v>505578.35597533447</v>
      </c>
      <c r="E59" s="350">
        <f t="shared" ref="E59" si="10">B59/D59</f>
        <v>0.81831013098751371</v>
      </c>
      <c r="F59" s="238"/>
      <c r="G59" s="238"/>
      <c r="I59" s="238"/>
    </row>
    <row r="60" spans="1:15" customFormat="1" ht="18" customHeight="1" x14ac:dyDescent="0.35">
      <c r="A60" s="357" t="s">
        <v>150</v>
      </c>
      <c r="B60" s="449">
        <f>'Vb. Peajes distribución'!B90</f>
        <v>3182278.26946803</v>
      </c>
      <c r="C60" s="449">
        <f>'Vb. Peajes distribución'!C90</f>
        <v>329532.90612714575</v>
      </c>
      <c r="D60" s="449">
        <f>SUM(B60:C60)</f>
        <v>3511811.1755951755</v>
      </c>
      <c r="E60" s="472">
        <f>B60/D60</f>
        <v>0.9061644007464903</v>
      </c>
      <c r="F60" s="238"/>
      <c r="G60" s="238"/>
      <c r="I60" s="238"/>
    </row>
    <row r="61" spans="1:15" customFormat="1" ht="21.75" customHeight="1" thickBot="1" x14ac:dyDescent="0.4">
      <c r="A61" s="459" t="s">
        <v>4</v>
      </c>
      <c r="B61" s="471">
        <f>SUM(B59:B60)</f>
        <v>3595998.1601706576</v>
      </c>
      <c r="C61" s="471">
        <f t="shared" ref="C61:D61" si="11">SUM(C59:C60)</f>
        <v>421391.37139985245</v>
      </c>
      <c r="D61" s="471">
        <f t="shared" si="11"/>
        <v>4017389.53157051</v>
      </c>
      <c r="E61" s="473">
        <f>B61/D61</f>
        <v>0.89510816213156241</v>
      </c>
      <c r="F61" s="238"/>
      <c r="G61" s="238"/>
    </row>
    <row r="62" spans="1:15" ht="13.15" thickBot="1" x14ac:dyDescent="0.4"/>
    <row r="63" spans="1:15" ht="23.25" customHeight="1" x14ac:dyDescent="0.35">
      <c r="A63" s="642" t="s">
        <v>139</v>
      </c>
      <c r="B63" s="162" t="s">
        <v>152</v>
      </c>
      <c r="C63" s="163"/>
    </row>
    <row r="64" spans="1:15" ht="38.25" x14ac:dyDescent="0.35">
      <c r="A64" s="643"/>
      <c r="B64" s="239" t="s">
        <v>156</v>
      </c>
      <c r="C64" s="304" t="s">
        <v>157</v>
      </c>
    </row>
    <row r="65" spans="1:18" s="1" customFormat="1" ht="21" customHeight="1" x14ac:dyDescent="0.35">
      <c r="A65" s="346" t="s">
        <v>149</v>
      </c>
      <c r="B65" s="453">
        <f>D59*75%/B59</f>
        <v>0.91652293134257179</v>
      </c>
      <c r="C65" s="454">
        <f>D59*25%/C59</f>
        <v>1.3759710508835208</v>
      </c>
      <c r="D65" s="308"/>
      <c r="E65" s="308"/>
      <c r="F65" s="474"/>
      <c r="G65" s="474"/>
      <c r="I65" s="474"/>
    </row>
    <row r="66" spans="1:18" s="1" customFormat="1" ht="21" customHeight="1" thickBot="1" x14ac:dyDescent="0.4">
      <c r="A66" s="347" t="s">
        <v>150</v>
      </c>
      <c r="B66" s="455">
        <f>D60*75%/B60</f>
        <v>0.82766438339682791</v>
      </c>
      <c r="C66" s="456">
        <f>D60*25%/C60</f>
        <v>2.6642340645642468</v>
      </c>
      <c r="D66" s="308"/>
      <c r="E66" s="308"/>
      <c r="F66" s="474"/>
      <c r="G66" s="474"/>
      <c r="I66" s="474"/>
    </row>
    <row r="67" spans="1:18" ht="13.15" thickBot="1" x14ac:dyDescent="0.4"/>
    <row r="68" spans="1:18" ht="25.15" customHeight="1" x14ac:dyDescent="0.35">
      <c r="A68" s="642" t="s">
        <v>139</v>
      </c>
      <c r="B68" s="162" t="s">
        <v>119</v>
      </c>
      <c r="C68" s="162"/>
      <c r="D68" s="306" t="s">
        <v>158</v>
      </c>
      <c r="E68" s="306"/>
      <c r="F68" s="307"/>
    </row>
    <row r="69" spans="1:18" ht="25.15" customHeight="1" x14ac:dyDescent="0.35">
      <c r="A69" s="643"/>
      <c r="B69" s="164" t="s">
        <v>15</v>
      </c>
      <c r="C69" s="164" t="s">
        <v>16</v>
      </c>
      <c r="D69" s="309" t="s">
        <v>15</v>
      </c>
      <c r="E69" s="309" t="s">
        <v>16</v>
      </c>
      <c r="F69" s="310" t="s">
        <v>17</v>
      </c>
    </row>
    <row r="70" spans="1:18" ht="30" customHeight="1" x14ac:dyDescent="0.35">
      <c r="A70" s="344" t="s">
        <v>2</v>
      </c>
      <c r="B70" s="494">
        <f>'Va. Peajes transporte'!B79*$B$65</f>
        <v>2.9420137814592877</v>
      </c>
      <c r="C70" s="494">
        <f>'Va. Peajes transporte'!C79*$B$65</f>
        <v>2.9892797647332087E-3</v>
      </c>
      <c r="D70" s="476">
        <f>B50*$C$65</f>
        <v>4.3568949142561144E-3</v>
      </c>
      <c r="E70" s="476">
        <f>C50*$C$65</f>
        <v>2.0405130293046142E-3</v>
      </c>
      <c r="F70" s="477">
        <f>D50*$C$65</f>
        <v>3.8974956803400515E-6</v>
      </c>
      <c r="L70" s="315"/>
      <c r="M70" s="314"/>
      <c r="N70" s="314"/>
      <c r="O70" s="314"/>
      <c r="P70" s="314"/>
      <c r="Q70" s="314"/>
      <c r="R70" s="308"/>
    </row>
    <row r="71" spans="1:18" ht="30" customHeight="1" x14ac:dyDescent="0.35">
      <c r="A71" s="344" t="s">
        <v>143</v>
      </c>
      <c r="B71" s="494">
        <f>'Vb. Peajes distribución'!B79*$B$66</f>
        <v>20.016918409060708</v>
      </c>
      <c r="C71" s="494">
        <f>'Vb. Peajes distribución'!C79*$B$66</f>
        <v>0.43917637828109685</v>
      </c>
      <c r="D71" s="476">
        <f>B51*$C$66</f>
        <v>2.9877025206952068E-2</v>
      </c>
      <c r="E71" s="476">
        <f>C51*$C$66</f>
        <v>1.4499108594186126E-2</v>
      </c>
      <c r="F71" s="477">
        <f>D51*$C$66</f>
        <v>7.4836286179705896E-5</v>
      </c>
      <c r="L71" s="315"/>
      <c r="M71" s="314"/>
      <c r="N71" s="314"/>
      <c r="O71" s="314"/>
      <c r="P71" s="314"/>
      <c r="Q71" s="314"/>
      <c r="R71" s="308"/>
    </row>
    <row r="72" spans="1:18" ht="30" customHeight="1" thickBot="1" x14ac:dyDescent="0.4">
      <c r="A72" s="370" t="s">
        <v>147</v>
      </c>
      <c r="B72" s="496">
        <f>SUM(B70:B71)</f>
        <v>22.958932190519995</v>
      </c>
      <c r="C72" s="496">
        <f>SUM(C70:C71)</f>
        <v>0.44216565804583008</v>
      </c>
      <c r="D72" s="478">
        <f>SUM(D70:D71)</f>
        <v>3.4233920121208183E-2</v>
      </c>
      <c r="E72" s="478">
        <f t="shared" ref="E72" si="12">SUM(E70:E71)</f>
        <v>1.6539621623490739E-2</v>
      </c>
      <c r="F72" s="479">
        <f t="shared" ref="F72" si="13">SUM(F70:F71)</f>
        <v>7.8733781860045951E-5</v>
      </c>
      <c r="L72" s="315"/>
      <c r="M72" s="314"/>
      <c r="N72" s="314"/>
      <c r="O72" s="314"/>
      <c r="P72" s="314"/>
      <c r="Q72" s="314"/>
      <c r="R72" s="308"/>
    </row>
    <row r="73" spans="1:18" ht="13.15" thickBot="1" x14ac:dyDescent="0.4"/>
    <row r="74" spans="1:18" ht="22.5" customHeight="1" x14ac:dyDescent="0.35">
      <c r="A74" s="642" t="s">
        <v>139</v>
      </c>
      <c r="B74" s="162" t="s">
        <v>151</v>
      </c>
      <c r="C74" s="162"/>
      <c r="D74" s="162"/>
      <c r="E74" s="636" t="s">
        <v>121</v>
      </c>
    </row>
    <row r="75" spans="1:18" ht="25.5" x14ac:dyDescent="0.35">
      <c r="A75" s="643"/>
      <c r="B75" s="239" t="s">
        <v>92</v>
      </c>
      <c r="C75" s="239" t="s">
        <v>93</v>
      </c>
      <c r="D75" s="239" t="s">
        <v>4</v>
      </c>
      <c r="E75" s="637"/>
    </row>
    <row r="76" spans="1:18" s="308" customFormat="1" ht="25.15" customHeight="1" x14ac:dyDescent="0.35">
      <c r="A76" s="346" t="s">
        <v>149</v>
      </c>
      <c r="B76" s="349">
        <f>B70*'I. Datos de entrada'!$C$120+C70*'I. Datos de entrada'!$H$120</f>
        <v>379183.76698150078</v>
      </c>
      <c r="C76" s="349">
        <f>$B$44*D70+$B$45*E70+$B$46*F70</f>
        <v>126394.5889938336</v>
      </c>
      <c r="D76" s="349">
        <f>SUM(B76:C76)</f>
        <v>505578.35597533442</v>
      </c>
      <c r="E76" s="350">
        <f t="shared" ref="E76" si="14">B76/D76</f>
        <v>0.74999999999999989</v>
      </c>
    </row>
    <row r="77" spans="1:18" s="308" customFormat="1" ht="25.15" customHeight="1" x14ac:dyDescent="0.35">
      <c r="A77" s="346" t="s">
        <v>150</v>
      </c>
      <c r="B77" s="349">
        <f>B71*'I. Datos de entrada'!$C$120+C71*'I. Datos de entrada'!$H$120</f>
        <v>2633858.3816963816</v>
      </c>
      <c r="C77" s="349">
        <f>$B$44*D71+$B$45*E71+$B$46*F71</f>
        <v>877952.79389879375</v>
      </c>
      <c r="D77" s="349">
        <f>SUM(B77:C77)</f>
        <v>3511811.1755951755</v>
      </c>
      <c r="E77" s="350">
        <f>B77/D77</f>
        <v>0.75</v>
      </c>
    </row>
    <row r="78" spans="1:18" s="308" customFormat="1" ht="25.15" customHeight="1" thickBot="1" x14ac:dyDescent="0.4">
      <c r="A78" s="385" t="s">
        <v>4</v>
      </c>
      <c r="B78" s="386">
        <f>SUM(B76:B77)</f>
        <v>3013042.1486778823</v>
      </c>
      <c r="C78" s="386">
        <f t="shared" ref="C78" si="15">SUM(C76:C77)</f>
        <v>1004347.3828926274</v>
      </c>
      <c r="D78" s="386">
        <f t="shared" ref="D78" si="16">SUM(D76:D77)</f>
        <v>4017389.53157051</v>
      </c>
      <c r="E78" s="387">
        <f>B78/D78</f>
        <v>0.74999999999999989</v>
      </c>
    </row>
    <row r="79" spans="1:18" x14ac:dyDescent="0.35">
      <c r="D79" s="410">
        <f>D78-SUM('Va. Peajes transporte'!D90,'Vb. Peajes distribución'!D90)</f>
        <v>0</v>
      </c>
    </row>
  </sheetData>
  <mergeCells count="14">
    <mergeCell ref="A63:A64"/>
    <mergeCell ref="A68:A69"/>
    <mergeCell ref="A74:A75"/>
    <mergeCell ref="E74:E75"/>
    <mergeCell ref="A48:A49"/>
    <mergeCell ref="I18:I19"/>
    <mergeCell ref="E57:E58"/>
    <mergeCell ref="A57:A58"/>
    <mergeCell ref="I31:I32"/>
    <mergeCell ref="A9:A10"/>
    <mergeCell ref="A13:A14"/>
    <mergeCell ref="A18:A19"/>
    <mergeCell ref="A23:A24"/>
    <mergeCell ref="A31:A32"/>
  </mergeCells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I. Datos de entrada</vt:lpstr>
      <vt:lpstr>IIa. Balances de Potencia</vt:lpstr>
      <vt:lpstr>IIb. Balances de energía</vt:lpstr>
      <vt:lpstr>IIIa. Coeficientes Potencia</vt:lpstr>
      <vt:lpstr>IIIb. Coeficientes Energía</vt:lpstr>
      <vt:lpstr>IV. Metodología de asignación</vt:lpstr>
      <vt:lpstr>Va. Peajes transporte</vt:lpstr>
      <vt:lpstr>Vb. Peajes distribución</vt:lpstr>
      <vt:lpstr>VI. Diseño del Peaje 2.0 TD</vt:lpstr>
      <vt:lpstr>VII. Peajes T&amp;D</vt:lpstr>
      <vt:lpstr>VIII. Pagos autoconsumo próximo</vt:lpstr>
      <vt:lpstr>IX. Peajes VE</vt:lpstr>
      <vt:lpstr>'IIb. Balances de energía'!Área_de_impresión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Metodología de Asignación T &amp; D</dc:title>
  <dc:creator/>
  <cp:lastModifiedBy/>
  <dcterms:created xsi:type="dcterms:W3CDTF">2019-11-27T14:11:12Z</dcterms:created>
  <dcterms:modified xsi:type="dcterms:W3CDTF">2024-11-25T11:46:45Z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2022-10-13T08:20:14Z</vt:lpwstr>
  </property>
  <property fmtid="{D5CDD505-2E9C-101B-9397-08002B2CF9AE}" pid="4" name="MSIP_Label_858aaffc-186e-450b-9166-22662fc28ad1_Method">
    <vt:lpwstr>Standard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b1cd08df-e68f-4e46-bc47-14a63c17d011</vt:lpwstr>
  </property>
  <property fmtid="{D5CDD505-2E9C-101B-9397-08002B2CF9AE}" pid="8" name="MSIP_Label_858aaffc-186e-450b-9166-22662fc28ad1_ContentBits">
    <vt:lpwstr>2</vt:lpwstr>
  </property>
</Properties>
</file>